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Stavební rozpočet - součet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<sst xmlns="http://schemas.openxmlformats.org/spreadsheetml/2006/main" count="2832" uniqueCount="1154">
  <si>
    <t>Slepý 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</si>
  <si>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</si>
  <si>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</si>
  <si>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</si>
  <si>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</si>
  <si>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</si>
  <si>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</si>
  <si>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</si>
  <si>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</si>
  <si>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</si>
  <si>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</si>
  <si>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</si>
  <si>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</si>
  <si>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</si>
  <si>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</si>
  <si>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</si>
  <si>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</si>
  <si>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</si>
  <si>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</si>
  <si>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</si>
  <si>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</si>
  <si>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</si>
  <si>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</si>
  <si>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</si>
  <si>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</si>
  <si>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</si>
  <si>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</si>
  <si>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</si>
  <si>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</si>
  <si>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</si>
  <si>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</si>
  <si>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</si>
  <si>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</si>
  <si>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</si>
  <si>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</si>
  <si>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</si>
  <si>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</si>
  <si>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</si>
  <si>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</si>
  <si>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</si>
  <si>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</si>
  <si>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</si>
  <si>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</si>
  <si>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</si>
  <si>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</si>
  <si>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</si>
  <si>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</si>
  <si>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</si>
  <si>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</si>
  <si>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</si>
  <si>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</si>
  <si>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</si>
  <si>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</si>
  <si>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</si>
  <si>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</si>
  <si>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</si>
  <si>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</si>
  <si>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</si>
  <si>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</si>
  <si>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</si>
  <si>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</si>
  <si>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</si>
  <si>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</si>
  <si>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</si>
  <si>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</si>
  <si>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</si>
  <si>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</si>
  <si>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</si>
  <si>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</si>
  <si>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</si>
  <si>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</si>
  <si>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</si>
  <si>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</si>
  <si>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</si>
  <si>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</si>
  <si>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</si>
  <si>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</si>
  <si>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</si>
  <si>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</si>
  <si>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</si>
  <si>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</si>
  <si>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</si>
  <si>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</si>
  <si>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</si>
  <si>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</si>
  <si>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</si>
  <si>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</si>
  <si>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</si>
  <si>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</si>
  <si>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</si>
  <si>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</si>
  <si>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</si>
  <si>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</si>
  <si>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</si>
  <si>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</si>
  <si>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</si>
  <si>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</si>
  <si>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</si>
  <si>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</si>
  <si>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</si>
  <si>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</si>
  <si>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</si>
  <si>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</si>
  <si>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</si>
  <si>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</si>
  <si>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</si>
  <si>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</si>
  <si>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</si>
  <si>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</si>
  <si>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</si>
  <si>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</si>
  <si>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</si>
  <si>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</si>
  <si>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</si>
  <si>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</si>
  <si>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</si>
  <si>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</si>
  <si>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</si>
  <si>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</si>
  <si>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</si>
  <si>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</si>
  <si>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</si>
  <si>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</si>
  <si>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</si>
  <si>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</si>
  <si>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</si>
  <si>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</si>
  <si>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</si>
  <si>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</si>
  <si>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</si>
  <si>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</si>
  <si>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</si>
  <si>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</si>
  <si>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</si>
  <si>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</si>
  <si>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</si>
  <si>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</si>
  <si>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</si>
  <si>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</si>
  <si>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</si>
  <si>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</si>
  <si>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</si>
  <si>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</si>
  <si>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</si>
  <si>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</si>
  <si>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</si>
  <si>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</si>
  <si>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</si>
  <si>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</si>
  <si>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</si>
  <si>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</si>
  <si>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</si>
  <si>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</si>
  <si>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</si>
  <si>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</si>
  <si>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</si>
  <si>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</si>
  <si>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</si>
  <si>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</si>
  <si>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</si>
  <si>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</si>
  <si>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</si>
  <si>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</si>
  <si>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</si>
  <si>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</si>
  <si>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</si>
  <si>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</si>
  <si>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</si>
  <si>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</si>
  <si>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</si>
  <si>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</si>
  <si>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</si>
  <si>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</si>
  <si>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</si>
  <si>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</si>
  <si>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</si>
  <si>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</si>
  <si>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</si>
  <si>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</si>
  <si>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</si>
  <si>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</si>
  <si>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</si>
  <si>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</si>
  <si>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</si>
  <si>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</si>
  <si>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</si>
  <si>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</si>
  <si>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</si>
  <si>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</si>
  <si>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</si>
  <si>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</si>
  <si>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</si>
  <si>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</si>
  <si>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</si>
  <si>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</si>
  <si>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</si>
  <si>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</si>
  <si>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</si>
  <si>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</si>
  <si>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</si>
  <si>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</si>
  <si>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</si>
  <si>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</si>
  <si>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</si>
  <si>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</si>
  <si>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</si>
  <si>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</si>
  <si>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</si>
  <si>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</si>
  <si>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</si>
  <si>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</si>
  <si>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</si>
  <si>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</si>
  <si>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</si>
  <si>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</si>
  <si>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</si>
  <si>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</si>
  <si>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</si>
  <si>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</si>
  <si>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</si>
  <si>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</si>
  <si>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</si>
  <si>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</si>
  <si>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</si>
  <si>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</si>
  <si>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</si>
  <si>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</si>
  <si>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</si>
  <si>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</si>
  <si>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</si>
  <si>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</si>
  <si>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</si>
  <si>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</si>
  <si>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</si>
  <si>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</si>
  <si>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</si>
  <si>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</si>
  <si>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</si>
  <si>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</si>
  <si>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</si>
  <si>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</si>
  <si>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</si>
  <si>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</si>
  <si>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</si>
  <si>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</si>
  <si>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</si>
  <si>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</si>
  <si>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</si>
  <si>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</si>
  <si>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</si>
  <si>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</si>
  <si>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</si>
  <si>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</si>
  <si>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</si>
  <si>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</si>
  <si>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Poznámka:</t>
  </si>
  <si>
    <t>Objekt</t>
  </si>
  <si>
    <t>Kód</t>
  </si>
  <si>
    <t>121101101R00</t>
  </si>
  <si>
    <t>122201101R00</t>
  </si>
  <si>
    <t>132201111R00</t>
  </si>
  <si>
    <t>131201111R00</t>
  </si>
  <si>
    <t>162701105R00</t>
  </si>
  <si>
    <t>199000005R00</t>
  </si>
  <si>
    <t>174101101R00</t>
  </si>
  <si>
    <t>58337369</t>
  </si>
  <si>
    <t>175101101R00</t>
  </si>
  <si>
    <t>174100050RA0</t>
  </si>
  <si>
    <t>181301102R00</t>
  </si>
  <si>
    <t>183403153R00</t>
  </si>
  <si>
    <t>180402111R00</t>
  </si>
  <si>
    <t>00572442</t>
  </si>
  <si>
    <t>181101102R00</t>
  </si>
  <si>
    <t>274313611R00</t>
  </si>
  <si>
    <t>274272140RT3</t>
  </si>
  <si>
    <t>274272120RT3</t>
  </si>
  <si>
    <t>274361214R00</t>
  </si>
  <si>
    <t>311238215R00</t>
  </si>
  <si>
    <t>311238292R00</t>
  </si>
  <si>
    <t>311271177RT4</t>
  </si>
  <si>
    <t>311238113R00</t>
  </si>
  <si>
    <t>317168130R00</t>
  </si>
  <si>
    <t>317168131R00</t>
  </si>
  <si>
    <t>317168132R00</t>
  </si>
  <si>
    <t>317168133R00</t>
  </si>
  <si>
    <t>317168112R00</t>
  </si>
  <si>
    <t>311238115R00</t>
  </si>
  <si>
    <t>317998115R00</t>
  </si>
  <si>
    <t>311238111R00</t>
  </si>
  <si>
    <t>338920011R00</t>
  </si>
  <si>
    <t>59228408</t>
  </si>
  <si>
    <t>342248114R00</t>
  </si>
  <si>
    <t>342248109R00</t>
  </si>
  <si>
    <t>342264102R00</t>
  </si>
  <si>
    <t>55347701VD</t>
  </si>
  <si>
    <t>416021121R00</t>
  </si>
  <si>
    <t>416021123R00</t>
  </si>
  <si>
    <t>417351215RT2</t>
  </si>
  <si>
    <t>417351215RT1</t>
  </si>
  <si>
    <t>417351115R00</t>
  </si>
  <si>
    <t>417351116R00</t>
  </si>
  <si>
    <t>417361821R00</t>
  </si>
  <si>
    <t>417321414R00</t>
  </si>
  <si>
    <t>451572111R00</t>
  </si>
  <si>
    <t>451535111R00</t>
  </si>
  <si>
    <t>564851111R00</t>
  </si>
  <si>
    <t>570000001VD</t>
  </si>
  <si>
    <t>596215020R00</t>
  </si>
  <si>
    <t>59245304</t>
  </si>
  <si>
    <t>916561111RT2</t>
  </si>
  <si>
    <t>596811111RT4</t>
  </si>
  <si>
    <t>610991111R00</t>
  </si>
  <si>
    <t>612473182R00</t>
  </si>
  <si>
    <t>612425931RT2</t>
  </si>
  <si>
    <t>620991121R00</t>
  </si>
  <si>
    <t>622421210R00</t>
  </si>
  <si>
    <t>602022191R00</t>
  </si>
  <si>
    <t>622481211RT2</t>
  </si>
  <si>
    <t>622472132R00</t>
  </si>
  <si>
    <t>622472259VD</t>
  </si>
  <si>
    <t>632451022R00</t>
  </si>
  <si>
    <t>631315611R00</t>
  </si>
  <si>
    <t>631312611R00</t>
  </si>
  <si>
    <t>631319175R00</t>
  </si>
  <si>
    <t>631319171R00</t>
  </si>
  <si>
    <t>631361921RT9</t>
  </si>
  <si>
    <t>631361921RT5</t>
  </si>
  <si>
    <t>631571010R00</t>
  </si>
  <si>
    <t>58337308</t>
  </si>
  <si>
    <t>642942111R00</t>
  </si>
  <si>
    <t>55330315</t>
  </si>
  <si>
    <t>55330316</t>
  </si>
  <si>
    <t>55330317</t>
  </si>
  <si>
    <t>55330318</t>
  </si>
  <si>
    <t>909      R00</t>
  </si>
  <si>
    <t>941941041R00</t>
  </si>
  <si>
    <t>941941291R00</t>
  </si>
  <si>
    <t>941941841R00</t>
  </si>
  <si>
    <t>941955001R00</t>
  </si>
  <si>
    <t>952901110R00</t>
  </si>
  <si>
    <t>952901111R00</t>
  </si>
  <si>
    <t>998011001R00</t>
  </si>
  <si>
    <t>953</t>
  </si>
  <si>
    <t>953907001VD</t>
  </si>
  <si>
    <t>44984124</t>
  </si>
  <si>
    <t>711</t>
  </si>
  <si>
    <t>711111001R00</t>
  </si>
  <si>
    <t>711141559R00</t>
  </si>
  <si>
    <t>711212002RT3</t>
  </si>
  <si>
    <t>711212601RT2</t>
  </si>
  <si>
    <t>711212602RT2</t>
  </si>
  <si>
    <t>11163230</t>
  </si>
  <si>
    <t>62852265</t>
  </si>
  <si>
    <t>998711101R00</t>
  </si>
  <si>
    <t>713</t>
  </si>
  <si>
    <t>713111111RT1</t>
  </si>
  <si>
    <t>713111221R00</t>
  </si>
  <si>
    <t>713111261R00</t>
  </si>
  <si>
    <t>713121111R00</t>
  </si>
  <si>
    <t>713191100RT9</t>
  </si>
  <si>
    <t>713191221R00</t>
  </si>
  <si>
    <t>6315083953</t>
  </si>
  <si>
    <t>6315083950</t>
  </si>
  <si>
    <t>283758903</t>
  </si>
  <si>
    <t>998713101R00</t>
  </si>
  <si>
    <t>721</t>
  </si>
  <si>
    <t>721176103R00</t>
  </si>
  <si>
    <t>721176124R00</t>
  </si>
  <si>
    <t>721176222R00</t>
  </si>
  <si>
    <t>721176223R00</t>
  </si>
  <si>
    <t>722181118R00</t>
  </si>
  <si>
    <t>722181116R00</t>
  </si>
  <si>
    <t>721223427RT1</t>
  </si>
  <si>
    <t>721290509VD</t>
  </si>
  <si>
    <t>721176101R00</t>
  </si>
  <si>
    <t>55162545.A</t>
  </si>
  <si>
    <t>721242111R00</t>
  </si>
  <si>
    <t>713191100R00</t>
  </si>
  <si>
    <t>69366202</t>
  </si>
  <si>
    <t>998721101R00</t>
  </si>
  <si>
    <t>722</t>
  </si>
  <si>
    <t>722176211R00</t>
  </si>
  <si>
    <t>722176212RT2</t>
  </si>
  <si>
    <t>722176213R00</t>
  </si>
  <si>
    <t>722176214R00</t>
  </si>
  <si>
    <t>722280106R00</t>
  </si>
  <si>
    <t>722290234R00</t>
  </si>
  <si>
    <t>722290509VD</t>
  </si>
  <si>
    <t>722238334R00</t>
  </si>
  <si>
    <t>722181211RT6</t>
  </si>
  <si>
    <t>722181211RT7</t>
  </si>
  <si>
    <t>722181211RT9</t>
  </si>
  <si>
    <t>722181211RU2</t>
  </si>
  <si>
    <t>722181213RT6</t>
  </si>
  <si>
    <t>722181213RT7</t>
  </si>
  <si>
    <t>722190222R00</t>
  </si>
  <si>
    <t>998722101R00</t>
  </si>
  <si>
    <t>725</t>
  </si>
  <si>
    <t>725014131R00</t>
  </si>
  <si>
    <t>725017132R00</t>
  </si>
  <si>
    <t>725017138R00</t>
  </si>
  <si>
    <t>725019103R00</t>
  </si>
  <si>
    <t>725299101R00</t>
  </si>
  <si>
    <t>725829201RT1</t>
  </si>
  <si>
    <t>725829301RT2</t>
  </si>
  <si>
    <t>725814131VD</t>
  </si>
  <si>
    <t>725980113R00</t>
  </si>
  <si>
    <t>55149031</t>
  </si>
  <si>
    <t>551620224</t>
  </si>
  <si>
    <t>55149023</t>
  </si>
  <si>
    <t>55149005</t>
  </si>
  <si>
    <t>725534228R00</t>
  </si>
  <si>
    <t>55149061</t>
  </si>
  <si>
    <t>55150701VD</t>
  </si>
  <si>
    <t>55149050</t>
  </si>
  <si>
    <t>725980121R00</t>
  </si>
  <si>
    <t>725017351R00</t>
  </si>
  <si>
    <t>55149011</t>
  </si>
  <si>
    <t>725139505VD</t>
  </si>
  <si>
    <t>725122151VD</t>
  </si>
  <si>
    <t>725815505VD</t>
  </si>
  <si>
    <t>725845111RT1</t>
  </si>
  <si>
    <t>998725101R00</t>
  </si>
  <si>
    <t>726</t>
  </si>
  <si>
    <t>726211121R00</t>
  </si>
  <si>
    <t>998726121R00</t>
  </si>
  <si>
    <t>728</t>
  </si>
  <si>
    <t>728114112R00</t>
  </si>
  <si>
    <t>429851132</t>
  </si>
  <si>
    <t>728611309VD</t>
  </si>
  <si>
    <t>429149007VD</t>
  </si>
  <si>
    <t>429149009VD</t>
  </si>
  <si>
    <t>728314209VD</t>
  </si>
  <si>
    <t>42953047VD</t>
  </si>
  <si>
    <t>42953048VD</t>
  </si>
  <si>
    <t>728411809VD</t>
  </si>
  <si>
    <t>42973159VD</t>
  </si>
  <si>
    <t>728621009VD</t>
  </si>
  <si>
    <t>998728101R00</t>
  </si>
  <si>
    <t>762</t>
  </si>
  <si>
    <t>762332201VD</t>
  </si>
  <si>
    <t>762332110RT5</t>
  </si>
  <si>
    <t>762332120RT2</t>
  </si>
  <si>
    <t>762342203RT4</t>
  </si>
  <si>
    <t>762342204RT4</t>
  </si>
  <si>
    <t>762811210R00</t>
  </si>
  <si>
    <t>60512560</t>
  </si>
  <si>
    <t>998762102R00</t>
  </si>
  <si>
    <t>764</t>
  </si>
  <si>
    <t>764908302R00</t>
  </si>
  <si>
    <t>764311285VD</t>
  </si>
  <si>
    <t>553508505</t>
  </si>
  <si>
    <t>553508700</t>
  </si>
  <si>
    <t>55350873</t>
  </si>
  <si>
    <t>5535088050</t>
  </si>
  <si>
    <t>553508850</t>
  </si>
  <si>
    <t>553508865</t>
  </si>
  <si>
    <t>553508845VD</t>
  </si>
  <si>
    <t>764908102R00</t>
  </si>
  <si>
    <t>764908105R00</t>
  </si>
  <si>
    <t>764908109R00</t>
  </si>
  <si>
    <t>5535089160</t>
  </si>
  <si>
    <t>998764101R00</t>
  </si>
  <si>
    <t>766</t>
  </si>
  <si>
    <t>766601211R00</t>
  </si>
  <si>
    <t>766601229R00</t>
  </si>
  <si>
    <t>766661112R00</t>
  </si>
  <si>
    <t>766670021R00</t>
  </si>
  <si>
    <t>54914634</t>
  </si>
  <si>
    <t>54914624</t>
  </si>
  <si>
    <t>61165040</t>
  </si>
  <si>
    <t>61165041</t>
  </si>
  <si>
    <t>766629301R00</t>
  </si>
  <si>
    <t>54914636VD</t>
  </si>
  <si>
    <t>61143817</t>
  </si>
  <si>
    <t>766412113R00</t>
  </si>
  <si>
    <t>61191684</t>
  </si>
  <si>
    <t>766417111R00</t>
  </si>
  <si>
    <t>60510055</t>
  </si>
  <si>
    <t>766699722R00</t>
  </si>
  <si>
    <t>61414960</t>
  </si>
  <si>
    <t>766643508VD</t>
  </si>
  <si>
    <t>766643509VD</t>
  </si>
  <si>
    <t>766812115R00</t>
  </si>
  <si>
    <t>61581701VD</t>
  </si>
  <si>
    <t>998766101R00</t>
  </si>
  <si>
    <t>771</t>
  </si>
  <si>
    <t>771101210RT1</t>
  </si>
  <si>
    <t>771130111R00</t>
  </si>
  <si>
    <t>771575109R00</t>
  </si>
  <si>
    <t>771578011R00</t>
  </si>
  <si>
    <t>771579791R00</t>
  </si>
  <si>
    <t>59764210</t>
  </si>
  <si>
    <t>59764241</t>
  </si>
  <si>
    <t>771577133RT1</t>
  </si>
  <si>
    <t>998771101R00</t>
  </si>
  <si>
    <t>776</t>
  </si>
  <si>
    <t>776572100RU1</t>
  </si>
  <si>
    <t>998776101R00</t>
  </si>
  <si>
    <t>781</t>
  </si>
  <si>
    <t>781310121R00</t>
  </si>
  <si>
    <t>781320121R00</t>
  </si>
  <si>
    <t>781497121R00</t>
  </si>
  <si>
    <t>781415016R00</t>
  </si>
  <si>
    <t>597813660</t>
  </si>
  <si>
    <t>998781101R00</t>
  </si>
  <si>
    <t>783</t>
  </si>
  <si>
    <t>783225600R00</t>
  </si>
  <si>
    <t>783226100R00</t>
  </si>
  <si>
    <t>783626310R00</t>
  </si>
  <si>
    <t>783782205R00</t>
  </si>
  <si>
    <t>783626100R00</t>
  </si>
  <si>
    <t>784</t>
  </si>
  <si>
    <t>784442001RT2</t>
  </si>
  <si>
    <t>784442021RT2</t>
  </si>
  <si>
    <t>M21</t>
  </si>
  <si>
    <t>210000000VD</t>
  </si>
  <si>
    <t>M23</t>
  </si>
  <si>
    <t>230000002VD</t>
  </si>
  <si>
    <t>230000001VD</t>
  </si>
  <si>
    <t>Šatny softbalového hřiště</t>
  </si>
  <si>
    <t>Novostavba</t>
  </si>
  <si>
    <t>Kostelec nad Orlicí</t>
  </si>
  <si>
    <t>Zkrácený popis</t>
  </si>
  <si>
    <t>Rozměry</t>
  </si>
  <si>
    <t>Odkopávky a prokopávky</t>
  </si>
  <si>
    <t>Sejmutí ornice s přemístěním do 50 m</t>
  </si>
  <si>
    <t>380*0,10</t>
  </si>
  <si>
    <t>Odkopávky nezapažené v hor. 3 do 100 m3</t>
  </si>
  <si>
    <t>(4,0+3,40)*1,50*0,14</t>
  </si>
  <si>
    <t>chodník - zámková dlažba</t>
  </si>
  <si>
    <t>Hloubené vykopávky</t>
  </si>
  <si>
    <t>Hloubení rýh š.do 60 cm v hor.3 do 100 m3, STROJNĚ</t>
  </si>
  <si>
    <t>(13,25+10,80)*2*0,60*0,50+12,05*(0,50+0,40)*0,50</t>
  </si>
  <si>
    <t>(6,15+2,075+1,675)*0,40*0,50+(13,25+3,60*2)*1,15*0,45</t>
  </si>
  <si>
    <t>3,10*3*0,95*0,45</t>
  </si>
  <si>
    <t>Hloubení nezapaž. jam hor.3 do 100 m3, STROJNĚ</t>
  </si>
  <si>
    <t>1,50*1,50*1,80   vsakovací jímka</t>
  </si>
  <si>
    <t>5,90*0,60*0,70   dešťová kanalizace</t>
  </si>
  <si>
    <t>Přemístění výkopku</t>
  </si>
  <si>
    <t>Vodorovné přemístění výkopku z hor.1-4 do 10000 m</t>
  </si>
  <si>
    <t>36,39113-32,058+1,554+1,18+2,925</t>
  </si>
  <si>
    <t>Poplatek za skládku zeminy 1- 4</t>
  </si>
  <si>
    <t>9,99213*2,0</t>
  </si>
  <si>
    <t>Konstrukce ze zemin</t>
  </si>
  <si>
    <t>Zásyp jam, rýh, šachet se zhutněním</t>
  </si>
  <si>
    <t>0,44*(13,05+11,80+3,50)+1,36*14,40</t>
  </si>
  <si>
    <t>obsyp vykopanou zemíinou okolo objektu</t>
  </si>
  <si>
    <t>(2,925+2,90)*2*2,89+0,17*2,75*8+(2,275+1,875)*(2,925+2,90)*2*0,65</t>
  </si>
  <si>
    <t>zásyp v objektu</t>
  </si>
  <si>
    <t>Štěrkopísek frakce 0-63 B</t>
  </si>
  <si>
    <t>68,83438*2,0+2,835*2,0</t>
  </si>
  <si>
    <t>Obsyp potrubí bez prohození sypaniny</t>
  </si>
  <si>
    <t>0,40*0,35*(5+15,25)</t>
  </si>
  <si>
    <t>potrubí k čerpací jímce a dešťové</t>
  </si>
  <si>
    <t>3,355+1,50*1,50*0,50   dešťová kanalizace</t>
  </si>
  <si>
    <t>Zásyp jam,rýh a šachet kamenivem drceným 32-63</t>
  </si>
  <si>
    <t>1,50*1,50*1,30   vsakovací jímka</t>
  </si>
  <si>
    <t>Povrchové úpravy terénu</t>
  </si>
  <si>
    <t>Rozprostření ornice, rovina, tl. 10-15 cm,do 500m2</t>
  </si>
  <si>
    <t>31,10*1,10+4,40*11,80+(1,0+2,30)/2*8,90+0,90*24,0+1,10*16,0</t>
  </si>
  <si>
    <t>Obdělání půdy hrabáním, v rovině</t>
  </si>
  <si>
    <t>Založení trávníku parkového výsevem v rovině</t>
  </si>
  <si>
    <t>Směs travní hřištní I. - střední zátěž PROFI</t>
  </si>
  <si>
    <t>Úprava pláně v zářezech v hor. 1-4, se zhutněním</t>
  </si>
  <si>
    <t>14,55*1,60+(11,80+4,95+3,40)*1,50   chodníky</t>
  </si>
  <si>
    <t>Základy</t>
  </si>
  <si>
    <t>Beton základových pasů prostý C 16/20</t>
  </si>
  <si>
    <t>(6,15+2,075+1,675)*0,40*0,50</t>
  </si>
  <si>
    <t>Zdivo základové z bednicích tvárnic, tl. 30 cm</t>
  </si>
  <si>
    <t>(12,85*2+11,0*2+12,25)*0,75</t>
  </si>
  <si>
    <t>výplň tvárnic betonem C 16/20</t>
  </si>
  <si>
    <t>Zdivo základové z bednicích tvárnic, tl. 20 cm</t>
  </si>
  <si>
    <t>(12,25+(6,35+2,275+1,875)*3)*0,75</t>
  </si>
  <si>
    <t>Výztuž základových pasů do 12 mm z oceli 10505 (R)</t>
  </si>
  <si>
    <t>(104+109*0,70+219*0,70)*0,617/1000</t>
  </si>
  <si>
    <t>274,0*0,888/1000</t>
  </si>
  <si>
    <t>Zdi podpěrné a volné</t>
  </si>
  <si>
    <t>Zdivo POROTHERM 38 P10 na MVC 5, tl. 400 mm</t>
  </si>
  <si>
    <t>(13,05+11,0)*2*2,75-1,50*0,75*4-1,50*2,50*4-1,0*2,50-1,125*2,0</t>
  </si>
  <si>
    <t>-1,75*0,25*8-1,50*0,25-1,25*0,25</t>
  </si>
  <si>
    <t>Příplatek za maltu PTH TM pro tl. zdiva 400 mm</t>
  </si>
  <si>
    <t>Zdivo z tvárnic Ytong hladkých tl. 30 cm</t>
  </si>
  <si>
    <t>1,125*2,50</t>
  </si>
  <si>
    <t>Zdivo POROTHERM 24 P10 na MVC 5, tl. 240 mm</t>
  </si>
  <si>
    <t>12,25*3,0-1,0*2,25*4-2,0*2,25-1,25*0,075*4-2,25*0,075</t>
  </si>
  <si>
    <t>Překlad POROTHERM 7 vysoký 70x235x1000 mm</t>
  </si>
  <si>
    <t>Překlad POROTHERM 7 vysoký 70x235x1250 mm</t>
  </si>
  <si>
    <t>Překlad POROTHERM 7 vysoký 70x235x1500 mm</t>
  </si>
  <si>
    <t>Překlad POROTHERM 7 vysoký 70x235x1750 mm</t>
  </si>
  <si>
    <t>Překlad POROTHERM plochý 115x71x1250 mm</t>
  </si>
  <si>
    <t>Zdivo POROTHERM 30 P10 na MVC 5, tl. 300 mm</t>
  </si>
  <si>
    <t>(11,0*2+12,85*2-1,0-1,125-1,50*4)*0,25</t>
  </si>
  <si>
    <t>zakládací soklová vrstva</t>
  </si>
  <si>
    <t>Izolace mezi překlady polystyren tl. 100 mm</t>
  </si>
  <si>
    <t>1,75*8+1,25+1,50</t>
  </si>
  <si>
    <t>Zdivo POROTHERM 17,5 P+D P8 na MVC 5, tl. 175 mm</t>
  </si>
  <si>
    <t>(0,415+1,86)/2*11,80*2</t>
  </si>
  <si>
    <t>Sloupy a pilíře, stožáry a rámové stojky</t>
  </si>
  <si>
    <t>Osazení betonové palisády, š. do 11 cm, dl. 60 cm</t>
  </si>
  <si>
    <t>1,60+13,05+1,50+1,10</t>
  </si>
  <si>
    <t>Palisáda přírodní Premium 11x11x60 cm</t>
  </si>
  <si>
    <t>17,25/0,11</t>
  </si>
  <si>
    <t>;ztratné 1%; 1,5681818</t>
  </si>
  <si>
    <t>Stěny a příčky</t>
  </si>
  <si>
    <t>Příčky POROTHERM 14 na MVC 5, tl. 140 mm</t>
  </si>
  <si>
    <t>(6,375*3-0,75+2,325*3+2,05*3+1,75*4)*3,20</t>
  </si>
  <si>
    <t>Příčky POROTHERM 8 na MVC 5, tl. 80 mm</t>
  </si>
  <si>
    <t>(2,325*4+1,20*4+1,0*4+2,0+1,425+0,80+0,65)*3,20-0,70*1,97*8</t>
  </si>
  <si>
    <t>(1,65+0,90)*4*2,50+0,85*1,25*4-0,60*1,97*9</t>
  </si>
  <si>
    <t>Osazení reviz. dvířek do SDK podhledu, do 0,50 m2</t>
  </si>
  <si>
    <t>Dvířka revizní do SDK 600x600x12,5 GKB CZ</t>
  </si>
  <si>
    <t>Stropy a stropní konstrukce (pro pozemní stavby)</t>
  </si>
  <si>
    <t>Podhledy SDK, kovová.kce CD. 1x deska RB 12,5 mm</t>
  </si>
  <si>
    <t>18,80*2+18,34+18,32</t>
  </si>
  <si>
    <t>Podhledy SDK, kovová.kce CD. 1x deska RBI 12,5 mm</t>
  </si>
  <si>
    <t>(2,85+3,84+5,61)*4+0,98</t>
  </si>
  <si>
    <t>Bednění věnců věncovkou Porotherm bez izolantu</t>
  </si>
  <si>
    <t>13,05*2+11,64*2</t>
  </si>
  <si>
    <t>z věncovek řezaných na polovinu výšky</t>
  </si>
  <si>
    <t>Bednění ztužujících pásů a věnců - zřízení</t>
  </si>
  <si>
    <t>0,21*(12,25*4+10,75*2)</t>
  </si>
  <si>
    <t>Bednění ztužujících pásů a věnců - odstranění</t>
  </si>
  <si>
    <t>Výztuž ztužujících pásů a věnců z oceli 10505(R)</t>
  </si>
  <si>
    <t>(12,73*3+11,48*2)*4*1,11*0,888/1000+0,82*310*0,222/1000</t>
  </si>
  <si>
    <t>Ztužující pásy a věnce z betonu železového C 25/30</t>
  </si>
  <si>
    <t>0,24*0,21*(12,25*3+11,48*2)</t>
  </si>
  <si>
    <t>Podkladní a vedlejší konstrukce (kromě vozovek a železničního svršku)</t>
  </si>
  <si>
    <t>Lože pod potrubí z kameniva těženého 0 - 4 mm</t>
  </si>
  <si>
    <t>0,50*0,10*5,0+0,60*0,10*15,25</t>
  </si>
  <si>
    <t>Podkladní vrstva tl. do 25 cm z drceného kameniva 32-63</t>
  </si>
  <si>
    <t>(2,925+2,90)*2*(6,35+2,275+1,875)*0,10</t>
  </si>
  <si>
    <t>pod základovou desku</t>
  </si>
  <si>
    <t>Podkladní vrstvy komunikací a zpevněných ploch</t>
  </si>
  <si>
    <t>Podklad ze štěrkodrti po zhutnění tloušťky 15 cm</t>
  </si>
  <si>
    <t>Kryty štěrkových a živičných pozemních komunikací a zpevněných ploch</t>
  </si>
  <si>
    <t>Komunikace a zpevněná plocha</t>
  </si>
  <si>
    <t>viz. samostatný výkaz výměr</t>
  </si>
  <si>
    <t>Dlažby a předlažby pozemních komunikací a zpevněných ploch</t>
  </si>
  <si>
    <t>Kladení zámkové dlažby tl. 6 cm do drtě tl. 3 cm</t>
  </si>
  <si>
    <t>Dlažba BEST BEATON přírodní  20x16,5x6</t>
  </si>
  <si>
    <t>53,505</t>
  </si>
  <si>
    <t>;ztratné 2%; 1,0701</t>
  </si>
  <si>
    <t>Osazení záhon.obrubníků do lože z C 12/15 s opěrou</t>
  </si>
  <si>
    <t>1,50+11,90+4,95+4,90+3,40+2,45</t>
  </si>
  <si>
    <t>včetně obrubníku   50/5/20 cm</t>
  </si>
  <si>
    <t>Kladení dlaždic kom.pro pěší, lože z kameniva těž.</t>
  </si>
  <si>
    <t>12,80*0,50   okapový chodník</t>
  </si>
  <si>
    <t>včetně dlaždic betonových HBB 50/50/5 cm</t>
  </si>
  <si>
    <t>Úprava povrchů vnitřní</t>
  </si>
  <si>
    <t>Zakrývání výplní vnitřních otvorů</t>
  </si>
  <si>
    <t>1,50*0,75*4+1,0*2,61+1,50*2,61*4</t>
  </si>
  <si>
    <t>Omítka vnitř.zdiva ze such.směsi, štuková</t>
  </si>
  <si>
    <t>(6,375+2,95)*2*4*3,20+0,15*2*3,20-1,50*2,61*4-0,70-1,97*4-0,60*1,97</t>
  </si>
  <si>
    <t>(1,20+2,375)*2*4*3,20+0,10*2*2,25-1,0*2,25*4-0,70*1,97*4-0,60*1,97*4</t>
  </si>
  <si>
    <t>-1,0*2,75-1,0*1,60*4+(1,65+2,325)*2*1,06*4+1,65*0,82*4</t>
  </si>
  <si>
    <t>(2,05*2+1,90)*1,06*4+(0,90*2+1,90)0,70*4-0,61*1,50*4</t>
  </si>
  <si>
    <t>Omítka vápenná vnitřního ostění - štuková</t>
  </si>
  <si>
    <t>(2,75*2+1,50+0,61*2+1,50)*4*0,17+(2,75*2+1,0)*0,17</t>
  </si>
  <si>
    <t>(2,25*2+1,0)*0,27*4</t>
  </si>
  <si>
    <t>s použitím suché maltové směsi</t>
  </si>
  <si>
    <t>Úprava povrchů vnější</t>
  </si>
  <si>
    <t>Zakrývání výplní vnějších otvorů z lešení</t>
  </si>
  <si>
    <t>Omítka vnější tepelně izolační tl. 3 cm</t>
  </si>
  <si>
    <t>(13,05+11,80)*3,08-1,50*0,75*4-1,50*2,61*4+1,0*2,61</t>
  </si>
  <si>
    <t>(0,75*2+1,50)*4*0,17+(2,61*10+1,50*4+1,0)*0,17</t>
  </si>
  <si>
    <t>Penetrační nátěr stěn</t>
  </si>
  <si>
    <t>Montáž výztužné sítě (perlinky) do stěrky-stěny</t>
  </si>
  <si>
    <t>66,655+(13,05+11,80)*(0,30+0,15)</t>
  </si>
  <si>
    <t>včetně výztužné sítě a stěrkového tmelu</t>
  </si>
  <si>
    <t>Omítka stěn vnější z MS akrylátová slož. II. ručně</t>
  </si>
  <si>
    <t>bez jádrové omítky, tloušťka akrylátové vrstvy 2 mm,
včetně penetrace podkladu</t>
  </si>
  <si>
    <t>Omítka mozaiková 5,5 kg/m2</t>
  </si>
  <si>
    <t>(13,05+11,80)*(0,30+0,15)</t>
  </si>
  <si>
    <t>včetně penetrace podkladu</t>
  </si>
  <si>
    <t>Podlahy a podlahové konstrukce</t>
  </si>
  <si>
    <t>Vyrovnávací potěr MC 15, v pásu, tl. 30 mm</t>
  </si>
  <si>
    <t>1,50*4*0,15+1,50*4*0,17</t>
  </si>
  <si>
    <t>pod venkovní i vnitřní parapety oken</t>
  </si>
  <si>
    <t>Mazanina betonová tl. 12 - 24 cm C 16/20</t>
  </si>
  <si>
    <t>12,85*11,60*0,15</t>
  </si>
  <si>
    <t>Mazanina betonová tl. 5 - 8 cm C 16/20</t>
  </si>
  <si>
    <t>(18,80*2+18,34+18,32+5,61*4+3,84*4+2,85*4+1,125*0,10+0,98)*0,06</t>
  </si>
  <si>
    <t>Příplatek za stržení povrchu mazaniny tl. 24 cm</t>
  </si>
  <si>
    <t>Příplatek za stržení povrchu mazaniny tl. 8 cm</t>
  </si>
  <si>
    <t>Výztuž mazanin svařovanou sítí</t>
  </si>
  <si>
    <t>12,85*11,60/1,7*2,0/2,7*3*0,00536</t>
  </si>
  <si>
    <t>průměr drátu  8,0, oka 150/150 mm KY80</t>
  </si>
  <si>
    <t>7,47315/0,06/1,70*2*0,00303</t>
  </si>
  <si>
    <t>(12,85*(1,0+1,50+1,0)+(11,60-3,50)*(1,0*2+1,50*3))*0,00303</t>
  </si>
  <si>
    <t>průměr drátu  6,0, oka 150/150 mm KH20
výztuž podlahy a horní výztuž základové desky</t>
  </si>
  <si>
    <t>Zřízení násypu, podlahy nebo střechy, bez dodávky</t>
  </si>
  <si>
    <t>(18,80*2+18,34+18,32+5,61*4+3,84*4+2,85*4+1,125*0,10+0,98)*0,01</t>
  </si>
  <si>
    <t>vyrovnávací vrstva jemného písku 10 mm pod perimeter</t>
  </si>
  <si>
    <t>Štěrkopísek frakce 0-2 tř.B</t>
  </si>
  <si>
    <t>1,24553*2,0</t>
  </si>
  <si>
    <t>Výplně otvorů</t>
  </si>
  <si>
    <t>Osazení zárubní dveřních ocelových, pl. do 2,5 m2</t>
  </si>
  <si>
    <t>Zárubeň ocelová H 110   600x1970x110 L</t>
  </si>
  <si>
    <t>Zárubeň ocelová H 110   600x1970x110 P</t>
  </si>
  <si>
    <t>Zárubeň ocelová H 110   700x1970x110 L</t>
  </si>
  <si>
    <t>Zárubeň ocelová H 110   700x1970x110 P</t>
  </si>
  <si>
    <t>Hodinové zúčtovací sazby (HZS)</t>
  </si>
  <si>
    <t>Hzs-nezmeritelne stavebni prace</t>
  </si>
  <si>
    <t>budou účtovány pouze odsouhlasené hodiny</t>
  </si>
  <si>
    <t>Lešení a stavební výtahy</t>
  </si>
  <si>
    <t>Montáž lešení leh.řad.s podlahami,š.1,2 m, H 10 m</t>
  </si>
  <si>
    <t>(15,45+14,20)*2*1,70</t>
  </si>
  <si>
    <t>Příplatek za každý měsíc použití lešení k pol.1041</t>
  </si>
  <si>
    <t>100,81*2</t>
  </si>
  <si>
    <t>Demontáž lešení leh.řad.s podlahami,š.1,2 m,H 10 m</t>
  </si>
  <si>
    <t>Lešení lehké pomocné, výška podlahy do 1,2 m</t>
  </si>
  <si>
    <t>18,80*2+18,34+18,32+5,61*4+3,84*4+2,85*4+1,125*0,10+0,98</t>
  </si>
  <si>
    <t>Různé dokončovací konstrukce a práce na pozemních stavbách</t>
  </si>
  <si>
    <t>Čištění mytím vnějších ploch oken a dveří</t>
  </si>
  <si>
    <t>1,50*0,75*4+1,50*2,61*4+1,0*2,61</t>
  </si>
  <si>
    <t>Vyčištění budov o výšce podlaží do 4 m</t>
  </si>
  <si>
    <t>Přesun hmot pro budovy zděné výšky do 6 m</t>
  </si>
  <si>
    <t>Doplňky budov</t>
  </si>
  <si>
    <t>Montáž přenosných hasících přístrojů</t>
  </si>
  <si>
    <t>Přístroj hasicí práškový</t>
  </si>
  <si>
    <t>osadit typ podle PBŘ</t>
  </si>
  <si>
    <t>Izolace proti vodě</t>
  </si>
  <si>
    <t>Izolace proti vlhkosti vodor. nátěr ALP za studena</t>
  </si>
  <si>
    <t>12,85*11,60</t>
  </si>
  <si>
    <t>Izolace proti vlhk. vodorovná pásy přitavením</t>
  </si>
  <si>
    <t>Hydroizolační povlak - nátěr nebo stěrka</t>
  </si>
  <si>
    <t>(5,61+(0,90*4+0,10)*2,36+(2,05+1,90+1,35)*0,15)*4</t>
  </si>
  <si>
    <t>(3,84+(1,65+1,375+0,85*2+1,53+0,93+1,05+0,775)*0,15)*4</t>
  </si>
  <si>
    <t>Mapelastic (fa Mapei), pružná hydroizolace tl. 2mm včetně svislého vytažení na určené plochy</t>
  </si>
  <si>
    <t>Těsnicí pás do spoje podlaha - stěna</t>
  </si>
  <si>
    <t>(0,90*4+0,10+2,05+1,90+1,35+2,36*3)*4</t>
  </si>
  <si>
    <t>(1,65+1,375+0,85*2+1,53+0,93+1,05+0,775)*4</t>
  </si>
  <si>
    <t>Mapeband š. 100 mm (fa Mapei)</t>
  </si>
  <si>
    <t>Těsnicí roh vnější, vnitřní do spoje podlaha-stěna</t>
  </si>
  <si>
    <t>(6+6)*4</t>
  </si>
  <si>
    <t>Mapeband - vnější, vnitřní roh</t>
  </si>
  <si>
    <t>Nátěr asfaltový penetrační DEKPRIMER</t>
  </si>
  <si>
    <t>149,06*0,3</t>
  </si>
  <si>
    <t>Pás modifikovaný asfalt Glastek 40 special mineral</t>
  </si>
  <si>
    <t>149,06</t>
  </si>
  <si>
    <t>;ztratné 15%; 22,359</t>
  </si>
  <si>
    <t>Přesun hmot pro izolace proti vodě, výšky do 6 m</t>
  </si>
  <si>
    <t>Izolace tepelné</t>
  </si>
  <si>
    <t>Izolace tepelné stropů vrchem kladené volně</t>
  </si>
  <si>
    <t>12,47*11,22+13,95*12,70+74,26+50,18</t>
  </si>
  <si>
    <t>Montáž parozábrany, zavěšené podhl., přelep. spojů</t>
  </si>
  <si>
    <t>74,26+50,18</t>
  </si>
  <si>
    <t>Jutafol N AL 170 speciál</t>
  </si>
  <si>
    <t>Utěsnění prostupu parozábranou pevnou páskou</t>
  </si>
  <si>
    <t xml:space="preserve"> včetně pásky JUTAFOL SP AL</t>
  </si>
  <si>
    <t>Izolace tepelná podlah na sucho, jednovrstvá</t>
  </si>
  <si>
    <t>Položení separační fólie</t>
  </si>
  <si>
    <t>včetně dodávky fólie</t>
  </si>
  <si>
    <t>Dilatační pásek podél stěn výšky 100 mm vč.dodávky</t>
  </si>
  <si>
    <t>(6,375+2,95+0,17)*2*4+(2,325+1,20+0,15)*2*4+(1,65+1,375)*2*4</t>
  </si>
  <si>
    <t>(1,53+0,85)*2*4+(2,95+1,90+0,90)*2*4</t>
  </si>
  <si>
    <t>Pás ISOVER DOMO PLUS  8400 x 1200 x 100 mm</t>
  </si>
  <si>
    <t>12,47*11,22+13,95*12,70</t>
  </si>
  <si>
    <t>;ztratné 2%; 6,341568</t>
  </si>
  <si>
    <t>Pás ISOVER DOMO PLUS TWIN 10/5 tl.  50 mm</t>
  </si>
  <si>
    <t>124,44</t>
  </si>
  <si>
    <t>;ztratné 2%; 2,4888</t>
  </si>
  <si>
    <t>Deska izolační polystyrenová PERIMETER tl. 70 mm</t>
  </si>
  <si>
    <t>Přesun hmot pro izolace tepelné, výšky do 6 m</t>
  </si>
  <si>
    <t>Vnitřní kanalizace</t>
  </si>
  <si>
    <t>Potrubí HT připojovací D 50 x 1,8 mm</t>
  </si>
  <si>
    <t>(1,50+0,90+1,05+1,82)*4+2,0*2+2,30+1,0</t>
  </si>
  <si>
    <t>Potrubí HT svodné (ležaté) v zemi D 75 x 1,9 mm</t>
  </si>
  <si>
    <t>1,41+0,59+2,04+0,73+0,68+2,13+1,77+1,89+1,95+0,86+1,49</t>
  </si>
  <si>
    <t>Potrubí KG svodné (ležaté) v zemi D 110 x 3,2 mm</t>
  </si>
  <si>
    <t>4,0+2,45+3,21+1,71+1,01+1,80</t>
  </si>
  <si>
    <t>Potrubí KG svodné (ležaté) v zemi D 125 x 3,2 mm</t>
  </si>
  <si>
    <t>10,82+2,57+2,18+4,52+5,40</t>
  </si>
  <si>
    <t>Ochrana potrubí plstěnými pásy DN 100</t>
  </si>
  <si>
    <t>Ochrana potrubí plstěnými pásy DN 65</t>
  </si>
  <si>
    <t>1,50*4+1,05*4+0,45*4+1,17*2+1,47</t>
  </si>
  <si>
    <t>Vpusť podlahová se zápachovou uzávěrkou HL 510N</t>
  </si>
  <si>
    <t>mřížka nerez 115 x 115 mm D 40/50 mm</t>
  </si>
  <si>
    <t>Drobný upevňovací materiál</t>
  </si>
  <si>
    <t>Potrubí HT připojovací D 32 x 1,8 mm</t>
  </si>
  <si>
    <t>0,45*4</t>
  </si>
  <si>
    <t>hlavice přivzdušňovací DN 100</t>
  </si>
  <si>
    <t>Lapač střešních splavenin PP HL660 D 110 mm</t>
  </si>
  <si>
    <t>10,35+4,90   dešťová</t>
  </si>
  <si>
    <t xml:space="preserve"> 1,50*1,50*2+1,50*1,30*4   vsakovací jímka</t>
  </si>
  <si>
    <t>Geotextilie 300 g/m2 š. 200 cm PES</t>
  </si>
  <si>
    <t>12,3</t>
  </si>
  <si>
    <t>;ztratné 15%; 1,845</t>
  </si>
  <si>
    <t>Přesun hmot pro vnitřní kanalizaci, výšky do 6 m</t>
  </si>
  <si>
    <t>Vnitřní vodovod</t>
  </si>
  <si>
    <t>Potrubí Mepla Geberit D 16 x 2,25 mm</t>
  </si>
  <si>
    <t>3,20*2+3,30+6,15+0,20*4+0,40*4+1,56*4+0,60*2+0,90+2,40+6,10   vč. nástěnek</t>
  </si>
  <si>
    <t>Potrubí Mepla Geberit D 20 x 2,5 mm</t>
  </si>
  <si>
    <t>4,95+5,48+5,90+4,84</t>
  </si>
  <si>
    <t>Potrubí Mepla Geberit D 26 x 3,0 mm</t>
  </si>
  <si>
    <t>Potrubí Mepla Geberit D 32 x 3,0 mm</t>
  </si>
  <si>
    <t>Tlaková zkouška vodovodního potrubí DN 32</t>
  </si>
  <si>
    <t>35,09+21,17+9,10+9,35</t>
  </si>
  <si>
    <t>Proplach a dezinfekce vodovod.potrubí DN 80</t>
  </si>
  <si>
    <t>Ventil uzav. přímý, s vypouš. Slovarm K-125T DN 32</t>
  </si>
  <si>
    <t>Izolace návleková MIRELON PRO tl. stěny 6 mm</t>
  </si>
  <si>
    <t>2,80+0,20*4+0,80*4+2,40*2+0,60*2+0,90+2,45   d = 18</t>
  </si>
  <si>
    <t>2,0+2,90+1,60+1,60   d = 22</t>
  </si>
  <si>
    <t>9,10   d = 28</t>
  </si>
  <si>
    <t>9,35   d = 35</t>
  </si>
  <si>
    <t>Izolace návleková MIRELON PRO tl. stěny 13 mm</t>
  </si>
  <si>
    <t>35,09-16,15   d = 18</t>
  </si>
  <si>
    <t>21,17-8,10   d = 22</t>
  </si>
  <si>
    <t>Přípojky vodovodní pro pevné připojení</t>
  </si>
  <si>
    <t>připojení ohřívačů</t>
  </si>
  <si>
    <t>Přesun hmot pro vnitřní vodovod, výšky do 6 m</t>
  </si>
  <si>
    <t>Zařizovací předměty</t>
  </si>
  <si>
    <t>Klozet závěsný OLYMP + sedátko, bílý</t>
  </si>
  <si>
    <t>Umyvadlo na šrouby OLYMP Deep 55 x 42 cm, bílé</t>
  </si>
  <si>
    <t>Kryt sifonu umyvadel OLYMP, bílý</t>
  </si>
  <si>
    <t>Výlevka závěsná MIRA s plastovou mžížkou</t>
  </si>
  <si>
    <t>Montáž koupelnových doplňků - mýdelníků, držáků ap</t>
  </si>
  <si>
    <t>Montáž baterie umyv.a dřezové nástěnné chromové</t>
  </si>
  <si>
    <t>včetně dodávky pákové baterie</t>
  </si>
  <si>
    <t>Montáž baterie umyv.a dřezové stojánkové</t>
  </si>
  <si>
    <t>včetně baterie</t>
  </si>
  <si>
    <t>Ventil rohový DN 15</t>
  </si>
  <si>
    <t>Dvířka vanová 300 x 300 mm</t>
  </si>
  <si>
    <t>pro hlavní uzávěr</t>
  </si>
  <si>
    <t>Koš odpadkový nerezový SLZN 11 obsah 5 l</t>
  </si>
  <si>
    <t>A434 Sifon umyvadlový s převlečnou maticí 5/4"</t>
  </si>
  <si>
    <t>Dávkovač tek. mýdla nerez SLZN 07 obsah 0,5 l</t>
  </si>
  <si>
    <t>Držák toaletního papíru nerez SLZN 09</t>
  </si>
  <si>
    <t>Ohřívač elek. zásob. závěsný DZ Dražice OKCE 200</t>
  </si>
  <si>
    <t>Zrcadlo nerez SLZN 30 nerozbitné 600 x 400 mm</t>
  </si>
  <si>
    <t>Mýdelník nástěnný chrom</t>
  </si>
  <si>
    <t>Kartáč WC s nerez držákem univerzální SLZN 19</t>
  </si>
  <si>
    <t>Dvířka z plastu, 150 x 150 mm</t>
  </si>
  <si>
    <t>Umývátko na šrouby LYRA Plus 40 x 31 cm, bílé</t>
  </si>
  <si>
    <t>Zásobník nerez na papírové ručníky SLZN 20</t>
  </si>
  <si>
    <t>Urinální dělící stěna bílá D+M</t>
  </si>
  <si>
    <t>Pisoárová mísa s vnitřním přívodem</t>
  </si>
  <si>
    <t>např. Jika Livo</t>
  </si>
  <si>
    <t>Tlakový splachovač pisoáru podomítkový</t>
  </si>
  <si>
    <t>Baterie sprchová nástěnná ruční</t>
  </si>
  <si>
    <t>Přesun hmot pro zařizovací předměty, výšky do 6 m</t>
  </si>
  <si>
    <t>Instalační prefabrikáty</t>
  </si>
  <si>
    <t>Modul-WC Kombifix, UP320, h 108 cm  110.020.00.1</t>
  </si>
  <si>
    <t>včetně ovládání zpředu</t>
  </si>
  <si>
    <t>Přesun hmot pro předstěnové systémy, výšky do 6 m</t>
  </si>
  <si>
    <t>Vzduchotechnika</t>
  </si>
  <si>
    <t>Montáž potrubí plastového kruhového do d 200 mm</t>
  </si>
  <si>
    <t>(0,40+2,45)*4</t>
  </si>
  <si>
    <t>Potrubí plastové kulaté VP 150/1000 KP</t>
  </si>
  <si>
    <t>Montáž ventilátoru do zdi do D 200 mm</t>
  </si>
  <si>
    <t>Ventilátor semiradiální se zp. klapkou, kul. ložisky a doběhem</t>
  </si>
  <si>
    <t>V = 100 m3/hod, Pc = 60 Pa</t>
  </si>
  <si>
    <t>V = 400 m3/hod, Pc = 90 Pa</t>
  </si>
  <si>
    <t>Montáž protidešť. žaluzie kruhové do zdi</t>
  </si>
  <si>
    <t>Plastová žaluzie protidešťová - bílá, prům. 150 mm</t>
  </si>
  <si>
    <t>Plastová žaluzie protidešťová - bílá, prům. 250 mm</t>
  </si>
  <si>
    <t>Montáž mřížky dveřní 455 x 90 mm</t>
  </si>
  <si>
    <t>Mřížka dveřní plastová oboustranná - bílá 455 x 90 mm</t>
  </si>
  <si>
    <t>Uvedení zařízení do provozu</t>
  </si>
  <si>
    <t>Přesun hmot pro vzduchotechniku, výšky do 6 m</t>
  </si>
  <si>
    <t>Konstrukce tesařské</t>
  </si>
  <si>
    <t>Krov s vazníky GN, zavětrování, kotvení D+M</t>
  </si>
  <si>
    <t>12,75*13,05</t>
  </si>
  <si>
    <t>kotvení do věnce chemickými kotvami</t>
  </si>
  <si>
    <t>Montáž vázaných krovů pravidelných do 120 cm2</t>
  </si>
  <si>
    <t>6,63*4</t>
  </si>
  <si>
    <t>včetně dodávky řeziva, hranoly 14/8</t>
  </si>
  <si>
    <t>Montáž vázaných krovů pravidelných do 224 cm2</t>
  </si>
  <si>
    <t>12,55*2</t>
  </si>
  <si>
    <t>včetně dodávky řeziva, hranoly 14/12</t>
  </si>
  <si>
    <t>Montáž laťování střech, vzdálenost latí 22 - 36 cm</t>
  </si>
  <si>
    <t>13,28*6,63*2</t>
  </si>
  <si>
    <t>včetně dodávky řeziva, latě 4/6 cm</t>
  </si>
  <si>
    <t>Montáž kontralatí přibitím</t>
  </si>
  <si>
    <t>Montáž záklopu, vrchní na sraz, hrubá prkna</t>
  </si>
  <si>
    <t>12,55*1,0   revizní lávka</t>
  </si>
  <si>
    <t>Prkno SM/JD omít.II.jak.tl.3,2 dl.200-350 š.8-16</t>
  </si>
  <si>
    <t>0,032*1,0*12,55</t>
  </si>
  <si>
    <t>;ztratné 8%; 0,032128</t>
  </si>
  <si>
    <t>Přesun hmot pro tesařské konstrukce, výšky do 12 m</t>
  </si>
  <si>
    <t>Konstrukce klempířské</t>
  </si>
  <si>
    <t>Lindab, oplechování parapetů, rš 250 mm</t>
  </si>
  <si>
    <t>1,55*4</t>
  </si>
  <si>
    <t>Montáž krytiny pozinkované- taškový profil</t>
  </si>
  <si>
    <t>Krytina pozinkovaná - taškový profil standard</t>
  </si>
  <si>
    <t>krytina Ruukki Monterrey</t>
  </si>
  <si>
    <t>Hřebenáč pro taškový profil 2100 mm</t>
  </si>
  <si>
    <t>13,28/2</t>
  </si>
  <si>
    <t>Koncovka hřebenáče</t>
  </si>
  <si>
    <t>Lemování štítové spodní jednodílné 2000 mm</t>
  </si>
  <si>
    <t>6,63*4/1,90</t>
  </si>
  <si>
    <t>Pás větrací hřebene, nároží l = 5000 mm</t>
  </si>
  <si>
    <t>13,28/5</t>
  </si>
  <si>
    <t>Pás ochranný větrací l = 5000 mm š 80 mm</t>
  </si>
  <si>
    <t>13,28/5*2</t>
  </si>
  <si>
    <t>Okapnička pod difúzní fólii 2000 mm</t>
  </si>
  <si>
    <t>13,28/1,90*2</t>
  </si>
  <si>
    <t>Lindab kotlík žlabový kónický SOK,vel.žlabu 150 mm</t>
  </si>
  <si>
    <t>Lindab žlab podokapní půlkruhový R,velikost 150 mm</t>
  </si>
  <si>
    <t>13,38*2</t>
  </si>
  <si>
    <t>Lindab odpadní trouby kruhové SROR, D 100 mm</t>
  </si>
  <si>
    <t>3,70*2</t>
  </si>
  <si>
    <t>Fólie kontaktní vysoce difúzní</t>
  </si>
  <si>
    <t>;ztratné 10%; 17,60928</t>
  </si>
  <si>
    <t>Přesun hmot pro klempířské konstr., výšky do 6 m</t>
  </si>
  <si>
    <t>Konstrukce truhlářské</t>
  </si>
  <si>
    <t>Těsnění okenní spáry, ostění, PT fólie+ PP páska</t>
  </si>
  <si>
    <t>(1,50+0,75*2)*4+(1,50+2,61*2)*4+1,0+2,61*2</t>
  </si>
  <si>
    <t>Těsnění oken.spáry,parapet,PT folie+PP folie+páska</t>
  </si>
  <si>
    <t>1,50*4</t>
  </si>
  <si>
    <t>Montáž dveří do zárubně,otevíravých 1kř.do 0,8 m</t>
  </si>
  <si>
    <t>Montáž kliky a štítku</t>
  </si>
  <si>
    <t>Dveřní kování klika - klika, vložka</t>
  </si>
  <si>
    <t>Dveřní kování klika - klika, uzamykatelná kulatá rozeta s ukazatelem</t>
  </si>
  <si>
    <t>Dveře vnitřní laminov. plné 1kř. 60x197 cm</t>
  </si>
  <si>
    <t>povrchová úprava dle vzorníku RAL</t>
  </si>
  <si>
    <t>Dveře vnitřní laminov. plné  1kř. 70x197 cm</t>
  </si>
  <si>
    <t>Montáž oken plastových plochy do 1,50 m2</t>
  </si>
  <si>
    <t>Dveřní kování klika - klika, klíč</t>
  </si>
  <si>
    <t>Okno plastové jednokřídlé 150 x 75 cm sklopné bílé</t>
  </si>
  <si>
    <t>izolační dvojsklo Ug = 1,1 W/m2K</t>
  </si>
  <si>
    <t>Obložení stěn nad 1 m2 palubkami SM</t>
  </si>
  <si>
    <t>13,15*(0,26+0,475)*2+(0,30+1,84)/2*12,75*2</t>
  </si>
  <si>
    <t>Palubka obkladová SM tloušťka 19 šíře 116 mm A/B</t>
  </si>
  <si>
    <t>46,6155</t>
  </si>
  <si>
    <t>;ztratné 8%; 3,72924</t>
  </si>
  <si>
    <t>Podkladový rošt pod obložení stěn</t>
  </si>
  <si>
    <t>(0,30+1,84)/2*12,75*2*1,5</t>
  </si>
  <si>
    <t>Lať profil dřevěný 60/40 mm l = 3 m a výše</t>
  </si>
  <si>
    <t>40,9275</t>
  </si>
  <si>
    <t>;ztratné 10%; 4,09275</t>
  </si>
  <si>
    <t>Překrytí spár lištou z měkkého dřeva, rohové</t>
  </si>
  <si>
    <t>0,30*4</t>
  </si>
  <si>
    <t>Lišta MD bez nátěru 60 x 15 mm</t>
  </si>
  <si>
    <t>1,20</t>
  </si>
  <si>
    <t>;ztratné 10%; 0,12</t>
  </si>
  <si>
    <t>Dveře vstupní plast dvoukřídlové s nadsvětlíkem 150/260 D+M</t>
  </si>
  <si>
    <t>zasklení 2/3 izolačním dvojsklem U = 1,1 s bezp. fólií</t>
  </si>
  <si>
    <t>Dveře vstupní plast jednokřídlové s nadsvětlíkem 100/260 D+M</t>
  </si>
  <si>
    <t>dveřní křídlo plné, nadsvětlík s izolačním dvojsklem s fólií</t>
  </si>
  <si>
    <t>Montáž vestavěné šatní stěny dřev.na stěnu š.4,90 m</t>
  </si>
  <si>
    <t>Vestavěná šatní stěna dl. 4,90 m</t>
  </si>
  <si>
    <t>Přesun hmot pro truhlářské konstr., výšky do 6 m</t>
  </si>
  <si>
    <t>Podlahy z dlaždic</t>
  </si>
  <si>
    <t>Penetrace podkladu pod dlažby</t>
  </si>
  <si>
    <t>penetrační nátěr Primer G</t>
  </si>
  <si>
    <t>Obklad soklíků rovných do tmele výšky do 100 mm</t>
  </si>
  <si>
    <t>((6,375+2,95+0,17)*2-1,50-0,70)*4+((2,325+1,20+0,15)*2-0,70*2-0,60)*4</t>
  </si>
  <si>
    <t>Montáž podlah keram.,hladké, tmel, 30x30 cm</t>
  </si>
  <si>
    <t>Spára podlaha - stěna, silikonem</t>
  </si>
  <si>
    <t>((1,65+1,375)*2-0,60*2+2,0*4)*4+((1,53+0,85)*2-0,60+2,0*4)*4</t>
  </si>
  <si>
    <t>((2,95+1,90+0,90)*2-0,70+2,0*6+0,90*4)*4</t>
  </si>
  <si>
    <t>Příplatek za plochu podlah keram. do 5 m2 jednotl.</t>
  </si>
  <si>
    <t>3,84*4+2,85*4+0,98</t>
  </si>
  <si>
    <t>Dlažba Taurus Granit hladká protiskl. 300x300x9 mm</t>
  </si>
  <si>
    <t>124,5525</t>
  </si>
  <si>
    <t>;ztratné 5%; 6,227625</t>
  </si>
  <si>
    <t>Dlažba Taurus Granit matná sokl 300x80x9 mm</t>
  </si>
  <si>
    <t>88,56/0,30</t>
  </si>
  <si>
    <t>;ztratné 2%; 5,904</t>
  </si>
  <si>
    <t>Lišta nerezová přechodová, stejná výška dlaždic</t>
  </si>
  <si>
    <t>0,70*8+0,60*9</t>
  </si>
  <si>
    <t>profil krycí 721/A, samolepicí, šířky 30 mm</t>
  </si>
  <si>
    <t>Přesun hmot pro podlahy z dlaždic, výšky do 6 m</t>
  </si>
  <si>
    <t>Podlahy povlakové</t>
  </si>
  <si>
    <t>Lepení povlakových podlah z pásů textilních</t>
  </si>
  <si>
    <t>1,10*4,90*8</t>
  </si>
  <si>
    <t>včetně koberce, lepení na stěnu</t>
  </si>
  <si>
    <t>Přesun hmot pro podlahy povlakové, výšky do 6 m</t>
  </si>
  <si>
    <t>Obklady (keramické)</t>
  </si>
  <si>
    <t>Obkládání ostění do tmele šířky do 300 mm</t>
  </si>
  <si>
    <t>0,14*2*4</t>
  </si>
  <si>
    <t>Obkládání parapetů do tmele šířky do 300 mm</t>
  </si>
  <si>
    <t>Lišta hliníková rohová k obkladům</t>
  </si>
  <si>
    <t>(2,36*2+0,90*4)*4   sprchové kouty</t>
  </si>
  <si>
    <t>0,85*4   WC</t>
  </si>
  <si>
    <t>Montáž obkladů stěn, porovin.,tmel, nad 20x25 cm</t>
  </si>
  <si>
    <t>((2,05*2+1,90)*2,0+(0,90*4+1,90)*2,36+0,10*3*2-0,70*1,97-1,50*0,14)*4</t>
  </si>
  <si>
    <t>((1,65+1,375)*2*2,0-0,60*1,97*2)*4+0,90*1,60*4</t>
  </si>
  <si>
    <t>((1,65+0,85)*2*2,0-0,12*1,10*2+0,12*0,85-0,60*1,97)*4</t>
  </si>
  <si>
    <t>Obkládačka 20x25</t>
  </si>
  <si>
    <t>175,292</t>
  </si>
  <si>
    <t>;ztratné 3%; 5,25876</t>
  </si>
  <si>
    <t>Přesun hmot pro obklady keramické, výšky do 6 m</t>
  </si>
  <si>
    <t>Nátěry</t>
  </si>
  <si>
    <t>Nátěr syntetický kovových konstrukcí 2x email</t>
  </si>
  <si>
    <t>(2*1,97+0,60)*0,21*9+(2*1,97+0,70)*0,21*8</t>
  </si>
  <si>
    <t>Nátěr syntetický kovových konstrukcí základní</t>
  </si>
  <si>
    <t>Nátěr lazurovací truhlářských výrobků 2+1</t>
  </si>
  <si>
    <t>2 x tenkovrstvá s ochranou proti modrání
1 x středněvrstvá s UV filtrem</t>
  </si>
  <si>
    <t>Nátěr tesařských konstrukcí Bochemitem QB 2x</t>
  </si>
  <si>
    <t>45,02025*(0,04+0,06)*2</t>
  </si>
  <si>
    <t>Nátěr lazurovací truhlářských výrobků 1x lakování</t>
  </si>
  <si>
    <t>zadní strana palubek</t>
  </si>
  <si>
    <t>Malby</t>
  </si>
  <si>
    <t>Malba disperzní interiérová HET, výška do 3,8 m</t>
  </si>
  <si>
    <t>((2,95+6,375)*2*2,92-1,10*4,90)*4+(1,20+2,325)*2*2,92*4</t>
  </si>
  <si>
    <t>((1,65+2,325)*2*1,0+1,65*2*0,36)*4+(2,05*2+1,90)*1,0*4</t>
  </si>
  <si>
    <t>(0,90*2+1,90)*0,64*4+(1,225+0,85)*2*2,92</t>
  </si>
  <si>
    <t>Klasik 1barevná, 2x nátěr, 1x penetrace</t>
  </si>
  <si>
    <t>Hetline pro SDK 2 x nátěr, 1 x penetrace - stropy</t>
  </si>
  <si>
    <t>Elektromontáže</t>
  </si>
  <si>
    <t>Elektromontáže silnoproud celkem</t>
  </si>
  <si>
    <t>Montáže potrubí</t>
  </si>
  <si>
    <t>Vodovodní přípojka</t>
  </si>
  <si>
    <t>Kanalizační přípojka s čerpací jímkou</t>
  </si>
  <si>
    <t xml:space="preserve">   viz. samostatný rozpočet a výkaz výměr</t>
  </si>
  <si>
    <t>přípojka od jímky do stávající kanalizační šachty dl. 21,5 m 
včetně čerpací jímky a zemních prací</t>
  </si>
  <si>
    <t>Doba výstavby:</t>
  </si>
  <si>
    <t>Začátek výstavby:</t>
  </si>
  <si>
    <t>Konec výstavby:</t>
  </si>
  <si>
    <t>Zpracováno dne:</t>
  </si>
  <si>
    <t>M.j.</t>
  </si>
  <si>
    <t>m3</t>
  </si>
  <si>
    <t>t</t>
  </si>
  <si>
    <t>m2</t>
  </si>
  <si>
    <t>kg</t>
  </si>
  <si>
    <t>kus</t>
  </si>
  <si>
    <t>m</t>
  </si>
  <si>
    <t>Kč</t>
  </si>
  <si>
    <t>h</t>
  </si>
  <si>
    <t>soubor</t>
  </si>
  <si>
    <t>kplt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</si>
  <si>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</si>
  <si>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</si>
  <si>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</si>
  <si>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</si>
  <si>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</si>
  <si>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</si>
  <si>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</si>
  <si>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</si>
  <si>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</si>
  <si>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</si>
  <si>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</si>
  <si>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Ing. Josef Čermák</t>
  </si>
  <si>
    <t>Celkem</t>
  </si>
  <si>
    <t>Hmotnost (t)</t>
  </si>
  <si>
    <t>Cenová</t>
  </si>
  <si>
    <t>soustava</t>
  </si>
  <si>
    <t>RTS II / 2016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</si>
  <si>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</si>
  <si>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</si>
  <si>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</si>
  <si>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</si>
  <si>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</si>
  <si>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</si>
  <si>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</si>
  <si>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</si>
  <si>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</si>
  <si>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12_</t>
  </si>
  <si>
    <t>13_</t>
  </si>
  <si>
    <t>16_</t>
  </si>
  <si>
    <t>17_</t>
  </si>
  <si>
    <t>18_</t>
  </si>
  <si>
    <t>27_</t>
  </si>
  <si>
    <t>31_</t>
  </si>
  <si>
    <t>33_</t>
  </si>
  <si>
    <t>34_</t>
  </si>
  <si>
    <t>41_</t>
  </si>
  <si>
    <t>45_</t>
  </si>
  <si>
    <t>56_</t>
  </si>
  <si>
    <t>57_</t>
  </si>
  <si>
    <t>59_</t>
  </si>
  <si>
    <t>61_</t>
  </si>
  <si>
    <t>62_</t>
  </si>
  <si>
    <t>63_</t>
  </si>
  <si>
    <t>64_</t>
  </si>
  <si>
    <t>90_</t>
  </si>
  <si>
    <t>94_</t>
  </si>
  <si>
    <t>95_</t>
  </si>
  <si>
    <t>953_</t>
  </si>
  <si>
    <t>711_</t>
  </si>
  <si>
    <t>713_</t>
  </si>
  <si>
    <t>721_</t>
  </si>
  <si>
    <t>722_</t>
  </si>
  <si>
    <t>725_</t>
  </si>
  <si>
    <t>726_</t>
  </si>
  <si>
    <t>728_</t>
  </si>
  <si>
    <t>762_</t>
  </si>
  <si>
    <t>764_</t>
  </si>
  <si>
    <t>766_</t>
  </si>
  <si>
    <t>771_</t>
  </si>
  <si>
    <t>776_</t>
  </si>
  <si>
    <t>781_</t>
  </si>
  <si>
    <t>783_</t>
  </si>
  <si>
    <t>784_</t>
  </si>
  <si>
    <t>M21_</t>
  </si>
  <si>
    <t>M23_</t>
  </si>
  <si>
    <t>1_</t>
  </si>
  <si>
    <t>2_</t>
  </si>
  <si>
    <t>3_</t>
  </si>
  <si>
    <t>4_</t>
  </si>
  <si>
    <t>5_</t>
  </si>
  <si>
    <t>6_</t>
  </si>
  <si>
    <t>9_</t>
  </si>
  <si>
    <t>71_</t>
  </si>
  <si>
    <t>72_</t>
  </si>
  <si>
    <t>76_</t>
  </si>
  <si>
    <t>77_</t>
  </si>
  <si>
    <t>78_</t>
  </si>
  <si>
    <t>_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</si>
  <si>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</si>
  <si>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</si>
  <si>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</si>
  <si>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</si>
  <si>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</si>
  <si>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</si>
  <si>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</si>
  <si>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</si>
  <si>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</si>
  <si>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</si>
  <si>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</si>
  <si>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</si>
  <si>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</si>
  <si>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</si>
  <si>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</si>
  <si>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</si>
  <si>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</si>
  <si>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</si>
  <si>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</si>
  <si>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</si>
  <si>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</si>
  <si>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</si>
  <si>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</si>
  <si>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</si>
  <si>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</si>
  <si>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</si>
  <si>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Kompletační činnost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</si>
  <si>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</si>
  <si>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</si>
  <si>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</si>
  <si>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</si>
  <si>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</si>
  <si>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</si>
  <si>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</si>
  <si>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</si>
  <si>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</si>
  <si>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</si>
  <si>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</si>
  <si>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</si>
  <si>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</si>
  <si>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</si>
  <si>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</si>
  <si>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</si>
  <si>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</si>
  <si>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</si>
  <si>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</si>
  <si>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</si>
  <si>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</si>
  <si>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</si>
  <si>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</si>
  <si>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</si>
  <si>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11075775/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</si>
</sst>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0"/>
      <name val="Arial"/>
      <family val="0"/>
    </font>
    <font>
      <i/>
      <sz val="10"/>
      <color indexed="63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32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13" xfId="0" applyNumberFormat="1" applyFont="1" applyFill="1" applyBorder="1" applyAlignment="1" applyProtection="1">
      <alignment horizontal="right" vertical="top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2" fillId="34" borderId="29" xfId="0" applyNumberFormat="1" applyFont="1" applyFill="1" applyBorder="1" applyAlignment="1" applyProtection="1">
      <alignment horizontal="center" vertical="center"/>
      <protection/>
    </xf>
    <xf numFmtId="49" fontId="13" fillId="0" borderId="30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29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4" fillId="0" borderId="29" xfId="0" applyNumberFormat="1" applyFont="1" applyFill="1" applyBorder="1" applyAlignment="1" applyProtection="1">
      <alignment horizontal="right" vertical="center"/>
      <protection/>
    </xf>
    <xf numFmtId="49" fontId="14" fillId="0" borderId="29" xfId="0" applyNumberFormat="1" applyFont="1" applyFill="1" applyBorder="1" applyAlignment="1" applyProtection="1">
      <alignment horizontal="right" vertical="center"/>
      <protection/>
    </xf>
    <xf numFmtId="4" fontId="14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4" fontId="13" fillId="34" borderId="38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44" xfId="0" applyNumberFormat="1" applyFont="1" applyFill="1" applyBorder="1" applyAlignment="1" applyProtection="1">
      <alignment horizontal="center" vertical="center"/>
      <protection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2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49" fontId="11" fillId="0" borderId="47" xfId="0" applyNumberFormat="1" applyFont="1" applyFill="1" applyBorder="1" applyAlignment="1" applyProtection="1">
      <alignment horizontal="center" vertical="center"/>
      <protection/>
    </xf>
    <xf numFmtId="0" fontId="11" fillId="0" borderId="47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left" vertical="center"/>
      <protection/>
    </xf>
    <xf numFmtId="0" fontId="15" fillId="0" borderId="38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left" vertical="center"/>
      <protection/>
    </xf>
    <xf numFmtId="0" fontId="14" fillId="0" borderId="38" xfId="0" applyNumberFormat="1" applyFont="1" applyFill="1" applyBorder="1" applyAlignment="1" applyProtection="1">
      <alignment horizontal="left" vertical="center"/>
      <protection/>
    </xf>
    <xf numFmtId="49" fontId="13" fillId="0" borderId="37" xfId="0" applyNumberFormat="1" applyFont="1" applyFill="1" applyBorder="1" applyAlignment="1" applyProtection="1">
      <alignment horizontal="left" vertical="center"/>
      <protection/>
    </xf>
    <xf numFmtId="0" fontId="13" fillId="0" borderId="38" xfId="0" applyNumberFormat="1" applyFont="1" applyFill="1" applyBorder="1" applyAlignment="1" applyProtection="1">
      <alignment horizontal="left" vertical="center"/>
      <protection/>
    </xf>
    <xf numFmtId="49" fontId="13" fillId="34" borderId="37" xfId="0" applyNumberFormat="1" applyFont="1" applyFill="1" applyBorder="1" applyAlignment="1" applyProtection="1">
      <alignment horizontal="left" vertical="center"/>
      <protection/>
    </xf>
    <xf numFmtId="0" fontId="13" fillId="34" borderId="47" xfId="0" applyNumberFormat="1" applyFont="1" applyFill="1" applyBorder="1" applyAlignment="1" applyProtection="1">
      <alignment horizontal="left" vertical="center"/>
      <protection/>
    </xf>
    <xf numFmtId="49" fontId="14" fillId="0" borderId="48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49" xfId="0" applyNumberFormat="1" applyFont="1" applyFill="1" applyBorder="1" applyAlignment="1" applyProtection="1">
      <alignment horizontal="left" vertical="center"/>
      <protection/>
    </xf>
    <xf numFmtId="49" fontId="14" fillId="0" borderId="25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50" xfId="0" applyNumberFormat="1" applyFont="1" applyFill="1" applyBorder="1" applyAlignment="1" applyProtection="1">
      <alignment horizontal="left" vertical="center"/>
      <protection/>
    </xf>
    <xf numFmtId="49" fontId="14" fillId="0" borderId="51" xfId="0" applyNumberFormat="1" applyFont="1" applyFill="1" applyBorder="1" applyAlignment="1" applyProtection="1">
      <alignment horizontal="left" vertical="center"/>
      <protection/>
    </xf>
    <xf numFmtId="0" fontId="14" fillId="0" borderId="41" xfId="0" applyNumberFormat="1" applyFont="1" applyFill="1" applyBorder="1" applyAlignment="1" applyProtection="1">
      <alignment horizontal="left" vertical="center"/>
      <protection/>
    </xf>
    <xf numFmtId="0" fontId="14" fillId="0" borderId="52" xfId="0" applyNumberFormat="1" applyFont="1" applyFill="1" applyBorder="1" applyAlignment="1" applyProtection="1">
      <alignment horizontal="left" vertical="center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4" fontId="5" fillId="35" borderId="0" xfId="0" applyNumberFormat="1" applyFont="1" applyFill="1" applyBorder="1" applyAlignment="1" applyProtection="1">
      <alignment horizontal="right" vertical="center"/>
      <protection/>
    </xf>
    <xf numFmtId="49" fontId="5" fillId="35" borderId="0" xfId="0" applyNumberFormat="1" applyFont="1" applyFill="1" applyBorder="1" applyAlignment="1" applyProtection="1">
      <alignment horizontal="right" vertical="center"/>
      <protection/>
    </xf>
    <xf numFmtId="0" fontId="1" fillId="35" borderId="0" xfId="0" applyFont="1" applyFill="1" applyAlignment="1">
      <alignment vertical="center"/>
    </xf>
    <xf numFmtId="49" fontId="10" fillId="35" borderId="0" xfId="0" applyNumberFormat="1" applyFont="1" applyFill="1" applyBorder="1" applyAlignment="1" applyProtection="1">
      <alignment horizontal="left" vertical="center"/>
      <protection/>
    </xf>
    <xf numFmtId="4" fontId="10" fillId="35" borderId="0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866775</xdr:colOff>
      <xdr:row>0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528"/>
  <sheetViews>
    <sheetView tabSelected="1" zoomScalePageLayoutView="0" workbookViewId="0" topLeftCell="A205">
      <selection activeCell="D90" sqref="D90:G90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63.00390625" style="0" customWidth="1"/>
    <col min="5" max="5" width="7.003906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ht="12.75">
      <c r="A2" s="69" t="s">
        <v>1</v>
      </c>
      <c r="B2" s="70"/>
      <c r="C2" s="70"/>
      <c r="D2" s="73" t="s">
        <v>520</v>
      </c>
      <c r="E2" s="75" t="s">
        <v>1009</v>
      </c>
      <c r="F2" s="70"/>
      <c r="G2" s="75"/>
      <c r="H2" s="70"/>
      <c r="I2" s="76" t="s">
        <v>1030</v>
      </c>
      <c r="J2" s="76"/>
      <c r="K2" s="70"/>
      <c r="L2" s="70"/>
      <c r="M2" s="77"/>
      <c r="N2" s="34"/>
    </row>
    <row r="3" spans="1:14" ht="12.75">
      <c r="A3" s="71"/>
      <c r="B3" s="72"/>
      <c r="C3" s="72"/>
      <c r="D3" s="74"/>
      <c r="E3" s="72"/>
      <c r="F3" s="72"/>
      <c r="G3" s="72"/>
      <c r="H3" s="72"/>
      <c r="I3" s="72"/>
      <c r="J3" s="72"/>
      <c r="K3" s="72"/>
      <c r="L3" s="72"/>
      <c r="M3" s="78"/>
      <c r="N3" s="34"/>
    </row>
    <row r="4" spans="1:14" ht="12.75">
      <c r="A4" s="79" t="s">
        <v>2</v>
      </c>
      <c r="B4" s="72"/>
      <c r="C4" s="72"/>
      <c r="D4" s="80" t="s">
        <v>521</v>
      </c>
      <c r="E4" s="81" t="s">
        <v>1010</v>
      </c>
      <c r="F4" s="72"/>
      <c r="G4" s="81" t="s">
        <v>6</v>
      </c>
      <c r="H4" s="72"/>
      <c r="I4" s="80" t="s">
        <v>1031</v>
      </c>
      <c r="J4" s="80" t="s">
        <v>1035</v>
      </c>
      <c r="K4" s="72"/>
      <c r="L4" s="72"/>
      <c r="M4" s="78"/>
      <c r="N4" s="34"/>
    </row>
    <row r="5" spans="1:14" ht="12.7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8"/>
      <c r="N5" s="34"/>
    </row>
    <row r="6" spans="1:14" ht="12.75">
      <c r="A6" s="79" t="s">
        <v>3</v>
      </c>
      <c r="B6" s="72"/>
      <c r="C6" s="72"/>
      <c r="D6" s="80" t="s">
        <v>522</v>
      </c>
      <c r="E6" s="81" t="s">
        <v>1011</v>
      </c>
      <c r="F6" s="72"/>
      <c r="G6" s="72"/>
      <c r="H6" s="72"/>
      <c r="I6" s="80" t="s">
        <v>1032</v>
      </c>
      <c r="J6" s="80"/>
      <c r="K6" s="72"/>
      <c r="L6" s="72"/>
      <c r="M6" s="78"/>
      <c r="N6" s="34"/>
    </row>
    <row r="7" spans="1:14" ht="12.75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8"/>
      <c r="N7" s="34"/>
    </row>
    <row r="8" spans="1:14" ht="12.75">
      <c r="A8" s="79" t="s">
        <v>4</v>
      </c>
      <c r="B8" s="72"/>
      <c r="C8" s="72"/>
      <c r="D8" s="80"/>
      <c r="E8" s="81" t="s">
        <v>1012</v>
      </c>
      <c r="F8" s="72"/>
      <c r="G8" s="84">
        <v>42750</v>
      </c>
      <c r="H8" s="72"/>
      <c r="I8" s="80" t="s">
        <v>1033</v>
      </c>
      <c r="J8" s="80" t="s">
        <v>1035</v>
      </c>
      <c r="K8" s="72"/>
      <c r="L8" s="72"/>
      <c r="M8" s="78"/>
      <c r="N8" s="34"/>
    </row>
    <row r="9" spans="1:14" ht="12.75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5"/>
      <c r="N9" s="34"/>
    </row>
    <row r="10" spans="1:14" ht="12.75">
      <c r="A10" s="1" t="s">
        <v>5</v>
      </c>
      <c r="B10" s="10" t="s">
        <v>256</v>
      </c>
      <c r="C10" s="10" t="s">
        <v>257</v>
      </c>
      <c r="D10" s="10" t="s">
        <v>523</v>
      </c>
      <c r="E10" s="10" t="s">
        <v>1013</v>
      </c>
      <c r="F10" s="19" t="s">
        <v>1024</v>
      </c>
      <c r="G10" s="23" t="s">
        <v>1025</v>
      </c>
      <c r="H10" s="86" t="s">
        <v>1027</v>
      </c>
      <c r="I10" s="87"/>
      <c r="J10" s="88"/>
      <c r="K10" s="86" t="s">
        <v>1037</v>
      </c>
      <c r="L10" s="88"/>
      <c r="M10" s="30" t="s">
        <v>1038</v>
      </c>
      <c r="N10" s="35"/>
    </row>
    <row r="11" spans="1:24" ht="12.75">
      <c r="A11" s="2" t="s">
        <v>6</v>
      </c>
      <c r="B11" s="11" t="s">
        <v>6</v>
      </c>
      <c r="C11" s="11" t="s">
        <v>6</v>
      </c>
      <c r="D11" s="16" t="s">
        <v>524</v>
      </c>
      <c r="E11" s="11" t="s">
        <v>6</v>
      </c>
      <c r="F11" s="11" t="s">
        <v>6</v>
      </c>
      <c r="G11" s="24" t="s">
        <v>1026</v>
      </c>
      <c r="H11" s="25" t="s">
        <v>1028</v>
      </c>
      <c r="I11" s="26" t="s">
        <v>1034</v>
      </c>
      <c r="J11" s="27" t="s">
        <v>1036</v>
      </c>
      <c r="K11" s="25" t="s">
        <v>1025</v>
      </c>
      <c r="L11" s="27" t="s">
        <v>1036</v>
      </c>
      <c r="M11" s="31" t="s">
        <v>1039</v>
      </c>
      <c r="N11" s="35"/>
      <c r="P11" s="29" t="s">
        <v>1041</v>
      </c>
      <c r="Q11" s="29" t="s">
        <v>1042</v>
      </c>
      <c r="R11" s="29" t="s">
        <v>1043</v>
      </c>
      <c r="S11" s="29" t="s">
        <v>1044</v>
      </c>
      <c r="T11" s="29" t="s">
        <v>1045</v>
      </c>
      <c r="U11" s="29" t="s">
        <v>1046</v>
      </c>
      <c r="V11" s="29" t="s">
        <v>1047</v>
      </c>
      <c r="W11" s="29" t="s">
        <v>1048</v>
      </c>
      <c r="X11" s="29" t="s">
        <v>1049</v>
      </c>
    </row>
    <row r="12" spans="1:37" ht="12.75">
      <c r="A12" s="3"/>
      <c r="B12" s="12"/>
      <c r="C12" s="12" t="s">
        <v>18</v>
      </c>
      <c r="D12" s="89" t="s">
        <v>525</v>
      </c>
      <c r="E12" s="90"/>
      <c r="F12" s="90"/>
      <c r="G12" s="90"/>
      <c r="H12" s="38">
        <f>SUM(H13:H15)</f>
        <v>0</v>
      </c>
      <c r="I12" s="38">
        <f>SUM(I13:I15)</f>
        <v>0</v>
      </c>
      <c r="J12" s="38">
        <f>H12+I12</f>
        <v>0</v>
      </c>
      <c r="K12" s="28"/>
      <c r="L12" s="38">
        <f>SUM(L13:L15)</f>
        <v>0</v>
      </c>
      <c r="M12" s="28"/>
      <c r="Y12" s="29"/>
      <c r="AI12" s="39">
        <f>SUM(Z13:Z15)</f>
        <v>0</v>
      </c>
      <c r="AJ12" s="39">
        <f>SUM(AA13:AA15)</f>
        <v>0</v>
      </c>
      <c r="AK12" s="39">
        <f>SUM(AB13:AB15)</f>
        <v>0</v>
      </c>
    </row>
    <row r="13" spans="1:48" ht="12.75">
      <c r="A13" s="4" t="s">
        <v>7</v>
      </c>
      <c r="B13" s="4"/>
      <c r="C13" s="4" t="s">
        <v>258</v>
      </c>
      <c r="D13" s="4" t="s">
        <v>526</v>
      </c>
      <c r="E13" s="4" t="s">
        <v>1014</v>
      </c>
      <c r="F13" s="20">
        <v>38</v>
      </c>
      <c r="G13" s="20">
        <v>0</v>
      </c>
      <c r="H13" s="20">
        <f>F13*AE13</f>
        <v>0</v>
      </c>
      <c r="I13" s="20">
        <f>J13-H13</f>
        <v>0</v>
      </c>
      <c r="J13" s="20">
        <f>F13*G13</f>
        <v>0</v>
      </c>
      <c r="K13" s="20">
        <v>0</v>
      </c>
      <c r="L13" s="20">
        <f>F13*K13</f>
        <v>0</v>
      </c>
      <c r="M13" s="32" t="s">
        <v>1040</v>
      </c>
      <c r="P13" s="36">
        <f>IF(AG13="5",J13,0)</f>
        <v>0</v>
      </c>
      <c r="R13" s="36">
        <f>IF(AG13="1",H13,0)</f>
        <v>0</v>
      </c>
      <c r="S13" s="36">
        <f>IF(AG13="1",I13,0)</f>
        <v>0</v>
      </c>
      <c r="T13" s="36">
        <f>IF(AG13="7",H13,0)</f>
        <v>0</v>
      </c>
      <c r="U13" s="36">
        <f>IF(AG13="7",I13,0)</f>
        <v>0</v>
      </c>
      <c r="V13" s="36">
        <f>IF(AG13="2",H13,0)</f>
        <v>0</v>
      </c>
      <c r="W13" s="36">
        <f>IF(AG13="2",I13,0)</f>
        <v>0</v>
      </c>
      <c r="X13" s="36">
        <f>IF(AG13="0",J13,0)</f>
        <v>0</v>
      </c>
      <c r="Y13" s="29"/>
      <c r="Z13" s="20">
        <f>IF(AD13=0,J13,0)</f>
        <v>0</v>
      </c>
      <c r="AA13" s="20">
        <f>IF(AD13=15,J13,0)</f>
        <v>0</v>
      </c>
      <c r="AB13" s="20">
        <f>IF(AD13=21,J13,0)</f>
        <v>0</v>
      </c>
      <c r="AD13" s="36">
        <v>21</v>
      </c>
      <c r="AE13" s="36">
        <f>G13*0</f>
        <v>0</v>
      </c>
      <c r="AF13" s="36">
        <f>G13*(1-0)</f>
        <v>0</v>
      </c>
      <c r="AG13" s="32" t="s">
        <v>7</v>
      </c>
      <c r="AM13" s="36">
        <f>F13*AE13</f>
        <v>0</v>
      </c>
      <c r="AN13" s="36">
        <f>F13*AF13</f>
        <v>0</v>
      </c>
      <c r="AO13" s="37" t="s">
        <v>1050</v>
      </c>
      <c r="AP13" s="37" t="s">
        <v>1089</v>
      </c>
      <c r="AQ13" s="29" t="s">
        <v>1101</v>
      </c>
      <c r="AS13" s="36">
        <f>AM13+AN13</f>
        <v>0</v>
      </c>
      <c r="AT13" s="36">
        <f>G13/(100-AU13)*100</f>
        <v>0</v>
      </c>
      <c r="AU13" s="36">
        <v>0</v>
      </c>
      <c r="AV13" s="36">
        <f>L13</f>
        <v>0</v>
      </c>
    </row>
    <row r="14" spans="4:6" ht="12.75">
      <c r="D14" s="17" t="s">
        <v>527</v>
      </c>
      <c r="F14" s="21">
        <v>38</v>
      </c>
    </row>
    <row r="15" spans="1:48" ht="12.75">
      <c r="A15" s="4" t="s">
        <v>8</v>
      </c>
      <c r="B15" s="4"/>
      <c r="C15" s="4" t="s">
        <v>259</v>
      </c>
      <c r="D15" s="4" t="s">
        <v>528</v>
      </c>
      <c r="E15" s="4" t="s">
        <v>1014</v>
      </c>
      <c r="F15" s="20">
        <v>1.554</v>
      </c>
      <c r="G15" s="20">
        <v>0</v>
      </c>
      <c r="H15" s="20">
        <f>F15*AE15</f>
        <v>0</v>
      </c>
      <c r="I15" s="20">
        <f>J15-H15</f>
        <v>0</v>
      </c>
      <c r="J15" s="20">
        <f>F15*G15</f>
        <v>0</v>
      </c>
      <c r="K15" s="20">
        <v>0</v>
      </c>
      <c r="L15" s="20">
        <f>F15*K15</f>
        <v>0</v>
      </c>
      <c r="M15" s="32" t="s">
        <v>1040</v>
      </c>
      <c r="P15" s="36">
        <f>IF(AG15="5",J15,0)</f>
        <v>0</v>
      </c>
      <c r="R15" s="36">
        <f>IF(AG15="1",H15,0)</f>
        <v>0</v>
      </c>
      <c r="S15" s="36">
        <f>IF(AG15="1",I15,0)</f>
        <v>0</v>
      </c>
      <c r="T15" s="36">
        <f>IF(AG15="7",H15,0)</f>
        <v>0</v>
      </c>
      <c r="U15" s="36">
        <f>IF(AG15="7",I15,0)</f>
        <v>0</v>
      </c>
      <c r="V15" s="36">
        <f>IF(AG15="2",H15,0)</f>
        <v>0</v>
      </c>
      <c r="W15" s="36">
        <f>IF(AG15="2",I15,0)</f>
        <v>0</v>
      </c>
      <c r="X15" s="36">
        <f>IF(AG15="0",J15,0)</f>
        <v>0</v>
      </c>
      <c r="Y15" s="29"/>
      <c r="Z15" s="20">
        <f>IF(AD15=0,J15,0)</f>
        <v>0</v>
      </c>
      <c r="AA15" s="20">
        <f>IF(AD15=15,J15,0)</f>
        <v>0</v>
      </c>
      <c r="AB15" s="20">
        <f>IF(AD15=21,J15,0)</f>
        <v>0</v>
      </c>
      <c r="AD15" s="36">
        <v>21</v>
      </c>
      <c r="AE15" s="36">
        <f>G15*0</f>
        <v>0</v>
      </c>
      <c r="AF15" s="36">
        <f>G15*(1-0)</f>
        <v>0</v>
      </c>
      <c r="AG15" s="32" t="s">
        <v>7</v>
      </c>
      <c r="AM15" s="36">
        <f>F15*AE15</f>
        <v>0</v>
      </c>
      <c r="AN15" s="36">
        <f>F15*AF15</f>
        <v>0</v>
      </c>
      <c r="AO15" s="37" t="s">
        <v>1050</v>
      </c>
      <c r="AP15" s="37" t="s">
        <v>1089</v>
      </c>
      <c r="AQ15" s="29" t="s">
        <v>1101</v>
      </c>
      <c r="AS15" s="36">
        <f>AM15+AN15</f>
        <v>0</v>
      </c>
      <c r="AT15" s="36">
        <f>G15/(100-AU15)*100</f>
        <v>0</v>
      </c>
      <c r="AU15" s="36">
        <v>0</v>
      </c>
      <c r="AV15" s="36">
        <f>L15</f>
        <v>0</v>
      </c>
    </row>
    <row r="16" spans="4:6" ht="12.75">
      <c r="D16" s="17" t="s">
        <v>529</v>
      </c>
      <c r="F16" s="21">
        <v>1.554</v>
      </c>
    </row>
    <row r="17" spans="3:13" ht="12.75">
      <c r="C17" s="14" t="s">
        <v>255</v>
      </c>
      <c r="D17" s="91" t="s">
        <v>530</v>
      </c>
      <c r="E17" s="92"/>
      <c r="F17" s="92"/>
      <c r="G17" s="92"/>
      <c r="H17" s="92"/>
      <c r="I17" s="92"/>
      <c r="J17" s="92"/>
      <c r="K17" s="92"/>
      <c r="L17" s="92"/>
      <c r="M17" s="92"/>
    </row>
    <row r="18" spans="1:37" ht="12.75">
      <c r="A18" s="5"/>
      <c r="B18" s="13"/>
      <c r="C18" s="13" t="s">
        <v>19</v>
      </c>
      <c r="D18" s="93" t="s">
        <v>531</v>
      </c>
      <c r="E18" s="94"/>
      <c r="F18" s="94"/>
      <c r="G18" s="94"/>
      <c r="H18" s="39">
        <f>SUM(H19:H25)</f>
        <v>0</v>
      </c>
      <c r="I18" s="39">
        <f>SUM(I19:I25)</f>
        <v>0</v>
      </c>
      <c r="J18" s="39">
        <f>H18+I18</f>
        <v>0</v>
      </c>
      <c r="K18" s="29"/>
      <c r="L18" s="39">
        <f>SUM(L19:L25)</f>
        <v>0</v>
      </c>
      <c r="M18" s="29"/>
      <c r="Y18" s="29"/>
      <c r="AI18" s="39">
        <f>SUM(Z19:Z25)</f>
        <v>0</v>
      </c>
      <c r="AJ18" s="39">
        <f>SUM(AA19:AA25)</f>
        <v>0</v>
      </c>
      <c r="AK18" s="39">
        <f>SUM(AB19:AB25)</f>
        <v>0</v>
      </c>
    </row>
    <row r="19" spans="1:48" ht="12.75">
      <c r="A19" s="4" t="s">
        <v>9</v>
      </c>
      <c r="B19" s="4"/>
      <c r="C19" s="4" t="s">
        <v>260</v>
      </c>
      <c r="D19" s="4" t="s">
        <v>532</v>
      </c>
      <c r="E19" s="4" t="s">
        <v>1014</v>
      </c>
      <c r="F19" s="20">
        <v>36.39113</v>
      </c>
      <c r="G19" s="20">
        <v>0</v>
      </c>
      <c r="H19" s="20">
        <f>F19*AE19</f>
        <v>0</v>
      </c>
      <c r="I19" s="20">
        <f>J19-H19</f>
        <v>0</v>
      </c>
      <c r="J19" s="20">
        <f>F19*G19</f>
        <v>0</v>
      </c>
      <c r="K19" s="20">
        <v>0</v>
      </c>
      <c r="L19" s="20">
        <f>F19*K19</f>
        <v>0</v>
      </c>
      <c r="M19" s="32" t="s">
        <v>1040</v>
      </c>
      <c r="P19" s="36">
        <f>IF(AG19="5",J19,0)</f>
        <v>0</v>
      </c>
      <c r="R19" s="36">
        <f>IF(AG19="1",H19,0)</f>
        <v>0</v>
      </c>
      <c r="S19" s="36">
        <f>IF(AG19="1",I19,0)</f>
        <v>0</v>
      </c>
      <c r="T19" s="36">
        <f>IF(AG19="7",H19,0)</f>
        <v>0</v>
      </c>
      <c r="U19" s="36">
        <f>IF(AG19="7",I19,0)</f>
        <v>0</v>
      </c>
      <c r="V19" s="36">
        <f>IF(AG19="2",H19,0)</f>
        <v>0</v>
      </c>
      <c r="W19" s="36">
        <f>IF(AG19="2",I19,0)</f>
        <v>0</v>
      </c>
      <c r="X19" s="36">
        <f>IF(AG19="0",J19,0)</f>
        <v>0</v>
      </c>
      <c r="Y19" s="29"/>
      <c r="Z19" s="20">
        <f>IF(AD19=0,J19,0)</f>
        <v>0</v>
      </c>
      <c r="AA19" s="20">
        <f>IF(AD19=15,J19,0)</f>
        <v>0</v>
      </c>
      <c r="AB19" s="20">
        <f>IF(AD19=21,J19,0)</f>
        <v>0</v>
      </c>
      <c r="AD19" s="36">
        <v>21</v>
      </c>
      <c r="AE19" s="36">
        <f>G19*0</f>
        <v>0</v>
      </c>
      <c r="AF19" s="36">
        <f>G19*(1-0)</f>
        <v>0</v>
      </c>
      <c r="AG19" s="32" t="s">
        <v>7</v>
      </c>
      <c r="AM19" s="36">
        <f>F19*AE19</f>
        <v>0</v>
      </c>
      <c r="AN19" s="36">
        <f>F19*AF19</f>
        <v>0</v>
      </c>
      <c r="AO19" s="37" t="s">
        <v>1051</v>
      </c>
      <c r="AP19" s="37" t="s">
        <v>1089</v>
      </c>
      <c r="AQ19" s="29" t="s">
        <v>1101</v>
      </c>
      <c r="AS19" s="36">
        <f>AM19+AN19</f>
        <v>0</v>
      </c>
      <c r="AT19" s="36">
        <f>G19/(100-AU19)*100</f>
        <v>0</v>
      </c>
      <c r="AU19" s="36">
        <v>0</v>
      </c>
      <c r="AV19" s="36">
        <f>L19</f>
        <v>0</v>
      </c>
    </row>
    <row r="20" spans="4:6" ht="12.75">
      <c r="D20" s="17" t="s">
        <v>533</v>
      </c>
      <c r="F20" s="21">
        <v>19.8525</v>
      </c>
    </row>
    <row r="21" spans="4:6" ht="12.75">
      <c r="D21" s="17" t="s">
        <v>534</v>
      </c>
      <c r="F21" s="21">
        <v>12.56288</v>
      </c>
    </row>
    <row r="22" spans="4:6" ht="12.75">
      <c r="D22" s="17" t="s">
        <v>535</v>
      </c>
      <c r="F22" s="21">
        <v>3.97575</v>
      </c>
    </row>
    <row r="23" spans="1:48" ht="12.75">
      <c r="A23" s="4" t="s">
        <v>10</v>
      </c>
      <c r="B23" s="4"/>
      <c r="C23" s="4" t="s">
        <v>261</v>
      </c>
      <c r="D23" s="4" t="s">
        <v>536</v>
      </c>
      <c r="E23" s="4" t="s">
        <v>1014</v>
      </c>
      <c r="F23" s="20">
        <v>4.05</v>
      </c>
      <c r="G23" s="20">
        <v>0</v>
      </c>
      <c r="H23" s="20">
        <f>F23*AE23</f>
        <v>0</v>
      </c>
      <c r="I23" s="20">
        <f>J23-H23</f>
        <v>0</v>
      </c>
      <c r="J23" s="20">
        <f>F23*G23</f>
        <v>0</v>
      </c>
      <c r="K23" s="20">
        <v>0</v>
      </c>
      <c r="L23" s="20">
        <f>F23*K23</f>
        <v>0</v>
      </c>
      <c r="M23" s="32" t="s">
        <v>1040</v>
      </c>
      <c r="P23" s="36">
        <f>IF(AG23="5",J23,0)</f>
        <v>0</v>
      </c>
      <c r="R23" s="36">
        <f>IF(AG23="1",H23,0)</f>
        <v>0</v>
      </c>
      <c r="S23" s="36">
        <f>IF(AG23="1",I23,0)</f>
        <v>0</v>
      </c>
      <c r="T23" s="36">
        <f>IF(AG23="7",H23,0)</f>
        <v>0</v>
      </c>
      <c r="U23" s="36">
        <f>IF(AG23="7",I23,0)</f>
        <v>0</v>
      </c>
      <c r="V23" s="36">
        <f>IF(AG23="2",H23,0)</f>
        <v>0</v>
      </c>
      <c r="W23" s="36">
        <f>IF(AG23="2",I23,0)</f>
        <v>0</v>
      </c>
      <c r="X23" s="36">
        <f>IF(AG23="0",J23,0)</f>
        <v>0</v>
      </c>
      <c r="Y23" s="29"/>
      <c r="Z23" s="20">
        <f>IF(AD23=0,J23,0)</f>
        <v>0</v>
      </c>
      <c r="AA23" s="20">
        <f>IF(AD23=15,J23,0)</f>
        <v>0</v>
      </c>
      <c r="AB23" s="20">
        <f>IF(AD23=21,J23,0)</f>
        <v>0</v>
      </c>
      <c r="AD23" s="36">
        <v>21</v>
      </c>
      <c r="AE23" s="36">
        <f>G23*0</f>
        <v>0</v>
      </c>
      <c r="AF23" s="36">
        <f>G23*(1-0)</f>
        <v>0</v>
      </c>
      <c r="AG23" s="32" t="s">
        <v>7</v>
      </c>
      <c r="AM23" s="36">
        <f>F23*AE23</f>
        <v>0</v>
      </c>
      <c r="AN23" s="36">
        <f>F23*AF23</f>
        <v>0</v>
      </c>
      <c r="AO23" s="37" t="s">
        <v>1051</v>
      </c>
      <c r="AP23" s="37" t="s">
        <v>1089</v>
      </c>
      <c r="AQ23" s="29" t="s">
        <v>1101</v>
      </c>
      <c r="AS23" s="36">
        <f>AM23+AN23</f>
        <v>0</v>
      </c>
      <c r="AT23" s="36">
        <f>G23/(100-AU23)*100</f>
        <v>0</v>
      </c>
      <c r="AU23" s="36">
        <v>0</v>
      </c>
      <c r="AV23" s="36">
        <f>L23</f>
        <v>0</v>
      </c>
    </row>
    <row r="24" spans="4:6" ht="12.75">
      <c r="D24" s="17" t="s">
        <v>537</v>
      </c>
      <c r="F24" s="21">
        <v>4.05</v>
      </c>
    </row>
    <row r="25" spans="1:48" ht="12.75">
      <c r="A25" s="4" t="s">
        <v>11</v>
      </c>
      <c r="B25" s="4"/>
      <c r="C25" s="4" t="s">
        <v>260</v>
      </c>
      <c r="D25" s="4" t="s">
        <v>532</v>
      </c>
      <c r="E25" s="4" t="s">
        <v>1014</v>
      </c>
      <c r="F25" s="20">
        <v>2.478</v>
      </c>
      <c r="G25" s="20">
        <v>0</v>
      </c>
      <c r="H25" s="20">
        <f>F25*AE25</f>
        <v>0</v>
      </c>
      <c r="I25" s="20">
        <f>J25-H25</f>
        <v>0</v>
      </c>
      <c r="J25" s="20">
        <f>F25*G25</f>
        <v>0</v>
      </c>
      <c r="K25" s="20">
        <v>0</v>
      </c>
      <c r="L25" s="20">
        <f>F25*K25</f>
        <v>0</v>
      </c>
      <c r="M25" s="32" t="s">
        <v>1040</v>
      </c>
      <c r="P25" s="36">
        <f>IF(AG25="5",J25,0)</f>
        <v>0</v>
      </c>
      <c r="R25" s="36">
        <f>IF(AG25="1",H25,0)</f>
        <v>0</v>
      </c>
      <c r="S25" s="36">
        <f>IF(AG25="1",I25,0)</f>
        <v>0</v>
      </c>
      <c r="T25" s="36">
        <f>IF(AG25="7",H25,0)</f>
        <v>0</v>
      </c>
      <c r="U25" s="36">
        <f>IF(AG25="7",I25,0)</f>
        <v>0</v>
      </c>
      <c r="V25" s="36">
        <f>IF(AG25="2",H25,0)</f>
        <v>0</v>
      </c>
      <c r="W25" s="36">
        <f>IF(AG25="2",I25,0)</f>
        <v>0</v>
      </c>
      <c r="X25" s="36">
        <f>IF(AG25="0",J25,0)</f>
        <v>0</v>
      </c>
      <c r="Y25" s="29"/>
      <c r="Z25" s="20">
        <f>IF(AD25=0,J25,0)</f>
        <v>0</v>
      </c>
      <c r="AA25" s="20">
        <f>IF(AD25=15,J25,0)</f>
        <v>0</v>
      </c>
      <c r="AB25" s="20">
        <f>IF(AD25=21,J25,0)</f>
        <v>0</v>
      </c>
      <c r="AD25" s="36">
        <v>21</v>
      </c>
      <c r="AE25" s="36">
        <f>G25*0</f>
        <v>0</v>
      </c>
      <c r="AF25" s="36">
        <f>G25*(1-0)</f>
        <v>0</v>
      </c>
      <c r="AG25" s="32" t="s">
        <v>7</v>
      </c>
      <c r="AM25" s="36">
        <f>F25*AE25</f>
        <v>0</v>
      </c>
      <c r="AN25" s="36">
        <f>F25*AF25</f>
        <v>0</v>
      </c>
      <c r="AO25" s="37" t="s">
        <v>1051</v>
      </c>
      <c r="AP25" s="37" t="s">
        <v>1089</v>
      </c>
      <c r="AQ25" s="29" t="s">
        <v>1101</v>
      </c>
      <c r="AS25" s="36">
        <f>AM25+AN25</f>
        <v>0</v>
      </c>
      <c r="AT25" s="36">
        <f>G25/(100-AU25)*100</f>
        <v>0</v>
      </c>
      <c r="AU25" s="36">
        <v>0</v>
      </c>
      <c r="AV25" s="36">
        <f>L25</f>
        <v>0</v>
      </c>
    </row>
    <row r="26" spans="4:6" ht="12.75">
      <c r="D26" s="17" t="s">
        <v>538</v>
      </c>
      <c r="F26" s="21">
        <v>2.478</v>
      </c>
    </row>
    <row r="27" spans="1:37" ht="12.75">
      <c r="A27" s="5"/>
      <c r="B27" s="13"/>
      <c r="C27" s="13" t="s">
        <v>22</v>
      </c>
      <c r="D27" s="93" t="s">
        <v>539</v>
      </c>
      <c r="E27" s="94"/>
      <c r="F27" s="94"/>
      <c r="G27" s="94"/>
      <c r="H27" s="39">
        <f>SUM(H28:H30)</f>
        <v>0</v>
      </c>
      <c r="I27" s="39">
        <f>SUM(I28:I30)</f>
        <v>0</v>
      </c>
      <c r="J27" s="39">
        <f>H27+I27</f>
        <v>0</v>
      </c>
      <c r="K27" s="29"/>
      <c r="L27" s="39">
        <f>SUM(L28:L30)</f>
        <v>0</v>
      </c>
      <c r="M27" s="29"/>
      <c r="Y27" s="29"/>
      <c r="AI27" s="39">
        <f>SUM(Z28:Z30)</f>
        <v>0</v>
      </c>
      <c r="AJ27" s="39">
        <f>SUM(AA28:AA30)</f>
        <v>0</v>
      </c>
      <c r="AK27" s="39">
        <f>SUM(AB28:AB30)</f>
        <v>0</v>
      </c>
    </row>
    <row r="28" spans="1:48" ht="12.75">
      <c r="A28" s="4" t="s">
        <v>12</v>
      </c>
      <c r="B28" s="4"/>
      <c r="C28" s="4" t="s">
        <v>262</v>
      </c>
      <c r="D28" s="4" t="s">
        <v>540</v>
      </c>
      <c r="E28" s="4" t="s">
        <v>1014</v>
      </c>
      <c r="F28" s="20">
        <v>9.99213</v>
      </c>
      <c r="G28" s="20">
        <v>0</v>
      </c>
      <c r="H28" s="20">
        <f>F28*AE28</f>
        <v>0</v>
      </c>
      <c r="I28" s="20">
        <f>J28-H28</f>
        <v>0</v>
      </c>
      <c r="J28" s="20">
        <f>F28*G28</f>
        <v>0</v>
      </c>
      <c r="K28" s="20">
        <v>0</v>
      </c>
      <c r="L28" s="20">
        <f>F28*K28</f>
        <v>0</v>
      </c>
      <c r="M28" s="32" t="s">
        <v>1040</v>
      </c>
      <c r="P28" s="36">
        <f>IF(AG28="5",J28,0)</f>
        <v>0</v>
      </c>
      <c r="R28" s="36">
        <f>IF(AG28="1",H28,0)</f>
        <v>0</v>
      </c>
      <c r="S28" s="36">
        <f>IF(AG28="1",I28,0)</f>
        <v>0</v>
      </c>
      <c r="T28" s="36">
        <f>IF(AG28="7",H28,0)</f>
        <v>0</v>
      </c>
      <c r="U28" s="36">
        <f>IF(AG28="7",I28,0)</f>
        <v>0</v>
      </c>
      <c r="V28" s="36">
        <f>IF(AG28="2",H28,0)</f>
        <v>0</v>
      </c>
      <c r="W28" s="36">
        <f>IF(AG28="2",I28,0)</f>
        <v>0</v>
      </c>
      <c r="X28" s="36">
        <f>IF(AG28="0",J28,0)</f>
        <v>0</v>
      </c>
      <c r="Y28" s="29"/>
      <c r="Z28" s="20">
        <f>IF(AD28=0,J28,0)</f>
        <v>0</v>
      </c>
      <c r="AA28" s="20">
        <f>IF(AD28=15,J28,0)</f>
        <v>0</v>
      </c>
      <c r="AB28" s="20">
        <f>IF(AD28=21,J28,0)</f>
        <v>0</v>
      </c>
      <c r="AD28" s="36">
        <v>21</v>
      </c>
      <c r="AE28" s="36">
        <f>G28*0</f>
        <v>0</v>
      </c>
      <c r="AF28" s="36">
        <f>G28*(1-0)</f>
        <v>0</v>
      </c>
      <c r="AG28" s="32" t="s">
        <v>7</v>
      </c>
      <c r="AM28" s="36">
        <f>F28*AE28</f>
        <v>0</v>
      </c>
      <c r="AN28" s="36">
        <f>F28*AF28</f>
        <v>0</v>
      </c>
      <c r="AO28" s="37" t="s">
        <v>1052</v>
      </c>
      <c r="AP28" s="37" t="s">
        <v>1089</v>
      </c>
      <c r="AQ28" s="29" t="s">
        <v>1101</v>
      </c>
      <c r="AS28" s="36">
        <f>AM28+AN28</f>
        <v>0</v>
      </c>
      <c r="AT28" s="36">
        <f>G28/(100-AU28)*100</f>
        <v>0</v>
      </c>
      <c r="AU28" s="36">
        <v>0</v>
      </c>
      <c r="AV28" s="36">
        <f>L28</f>
        <v>0</v>
      </c>
    </row>
    <row r="29" spans="4:6" ht="12.75">
      <c r="D29" s="17" t="s">
        <v>541</v>
      </c>
      <c r="F29" s="21">
        <v>9.99213</v>
      </c>
    </row>
    <row r="30" spans="1:48" ht="12.75">
      <c r="A30" s="4" t="s">
        <v>13</v>
      </c>
      <c r="B30" s="4"/>
      <c r="C30" s="4" t="s">
        <v>263</v>
      </c>
      <c r="D30" s="4" t="s">
        <v>542</v>
      </c>
      <c r="E30" s="4" t="s">
        <v>1015</v>
      </c>
      <c r="F30" s="20">
        <v>19.98426</v>
      </c>
      <c r="G30" s="20">
        <v>0</v>
      </c>
      <c r="H30" s="20">
        <f>F30*AE30</f>
        <v>0</v>
      </c>
      <c r="I30" s="20">
        <f>J30-H30</f>
        <v>0</v>
      </c>
      <c r="J30" s="20">
        <f>F30*G30</f>
        <v>0</v>
      </c>
      <c r="K30" s="20">
        <v>0</v>
      </c>
      <c r="L30" s="20">
        <f>F30*K30</f>
        <v>0</v>
      </c>
      <c r="M30" s="32" t="s">
        <v>1040</v>
      </c>
      <c r="P30" s="36">
        <f>IF(AG30="5",J30,0)</f>
        <v>0</v>
      </c>
      <c r="R30" s="36">
        <f>IF(AG30="1",H30,0)</f>
        <v>0</v>
      </c>
      <c r="S30" s="36">
        <f>IF(AG30="1",I30,0)</f>
        <v>0</v>
      </c>
      <c r="T30" s="36">
        <f>IF(AG30="7",H30,0)</f>
        <v>0</v>
      </c>
      <c r="U30" s="36">
        <f>IF(AG30="7",I30,0)</f>
        <v>0</v>
      </c>
      <c r="V30" s="36">
        <f>IF(AG30="2",H30,0)</f>
        <v>0</v>
      </c>
      <c r="W30" s="36">
        <f>IF(AG30="2",I30,0)</f>
        <v>0</v>
      </c>
      <c r="X30" s="36">
        <f>IF(AG30="0",J30,0)</f>
        <v>0</v>
      </c>
      <c r="Y30" s="29"/>
      <c r="Z30" s="20">
        <f>IF(AD30=0,J30,0)</f>
        <v>0</v>
      </c>
      <c r="AA30" s="20">
        <f>IF(AD30=15,J30,0)</f>
        <v>0</v>
      </c>
      <c r="AB30" s="20">
        <f>IF(AD30=21,J30,0)</f>
        <v>0</v>
      </c>
      <c r="AD30" s="36">
        <v>21</v>
      </c>
      <c r="AE30" s="36">
        <f>G30*0</f>
        <v>0</v>
      </c>
      <c r="AF30" s="36">
        <f>G30*(1-0)</f>
        <v>0</v>
      </c>
      <c r="AG30" s="32" t="s">
        <v>7</v>
      </c>
      <c r="AM30" s="36">
        <f>F30*AE30</f>
        <v>0</v>
      </c>
      <c r="AN30" s="36">
        <f>F30*AF30</f>
        <v>0</v>
      </c>
      <c r="AO30" s="37" t="s">
        <v>1052</v>
      </c>
      <c r="AP30" s="37" t="s">
        <v>1089</v>
      </c>
      <c r="AQ30" s="29" t="s">
        <v>1101</v>
      </c>
      <c r="AS30" s="36">
        <f>AM30+AN30</f>
        <v>0</v>
      </c>
      <c r="AT30" s="36">
        <f>G30/(100-AU30)*100</f>
        <v>0</v>
      </c>
      <c r="AU30" s="36">
        <v>0</v>
      </c>
      <c r="AV30" s="36">
        <f>L30</f>
        <v>0</v>
      </c>
    </row>
    <row r="31" spans="4:6" ht="12.75">
      <c r="D31" s="17" t="s">
        <v>543</v>
      </c>
      <c r="F31" s="21">
        <v>19.98426</v>
      </c>
    </row>
    <row r="32" spans="1:37" ht="12.75">
      <c r="A32" s="5"/>
      <c r="B32" s="13"/>
      <c r="C32" s="13" t="s">
        <v>23</v>
      </c>
      <c r="D32" s="93" t="s">
        <v>544</v>
      </c>
      <c r="E32" s="94"/>
      <c r="F32" s="94"/>
      <c r="G32" s="94"/>
      <c r="H32" s="39">
        <f>SUM(H33:H46)</f>
        <v>0</v>
      </c>
      <c r="I32" s="39">
        <f>SUM(I33:I46)</f>
        <v>0</v>
      </c>
      <c r="J32" s="39">
        <f>H32+I32</f>
        <v>0</v>
      </c>
      <c r="K32" s="29"/>
      <c r="L32" s="39">
        <f>SUM(L33:L46)</f>
        <v>148.22351</v>
      </c>
      <c r="M32" s="29"/>
      <c r="Y32" s="29"/>
      <c r="AI32" s="39">
        <f>SUM(Z33:Z46)</f>
        <v>0</v>
      </c>
      <c r="AJ32" s="39">
        <f>SUM(AA33:AA46)</f>
        <v>0</v>
      </c>
      <c r="AK32" s="39">
        <f>SUM(AB33:AB46)</f>
        <v>0</v>
      </c>
    </row>
    <row r="33" spans="1:48" ht="12.75">
      <c r="A33" s="4" t="s">
        <v>14</v>
      </c>
      <c r="B33" s="4"/>
      <c r="C33" s="4" t="s">
        <v>264</v>
      </c>
      <c r="D33" s="4" t="s">
        <v>545</v>
      </c>
      <c r="E33" s="4" t="s">
        <v>1014</v>
      </c>
      <c r="F33" s="20">
        <v>32.058</v>
      </c>
      <c r="G33" s="20">
        <v>0</v>
      </c>
      <c r="H33" s="20">
        <f>F33*AE33</f>
        <v>0</v>
      </c>
      <c r="I33" s="20">
        <f>J33-H33</f>
        <v>0</v>
      </c>
      <c r="J33" s="20">
        <f>F33*G33</f>
        <v>0</v>
      </c>
      <c r="K33" s="20">
        <v>0</v>
      </c>
      <c r="L33" s="20">
        <f>F33*K33</f>
        <v>0</v>
      </c>
      <c r="M33" s="32" t="s">
        <v>1040</v>
      </c>
      <c r="P33" s="36">
        <f>IF(AG33="5",J33,0)</f>
        <v>0</v>
      </c>
      <c r="R33" s="36">
        <f>IF(AG33="1",H33,0)</f>
        <v>0</v>
      </c>
      <c r="S33" s="36">
        <f>IF(AG33="1",I33,0)</f>
        <v>0</v>
      </c>
      <c r="T33" s="36">
        <f>IF(AG33="7",H33,0)</f>
        <v>0</v>
      </c>
      <c r="U33" s="36">
        <f>IF(AG33="7",I33,0)</f>
        <v>0</v>
      </c>
      <c r="V33" s="36">
        <f>IF(AG33="2",H33,0)</f>
        <v>0</v>
      </c>
      <c r="W33" s="36">
        <f>IF(AG33="2",I33,0)</f>
        <v>0</v>
      </c>
      <c r="X33" s="36">
        <f>IF(AG33="0",J33,0)</f>
        <v>0</v>
      </c>
      <c r="Y33" s="29"/>
      <c r="Z33" s="20">
        <f>IF(AD33=0,J33,0)</f>
        <v>0</v>
      </c>
      <c r="AA33" s="20">
        <f>IF(AD33=15,J33,0)</f>
        <v>0</v>
      </c>
      <c r="AB33" s="20">
        <f>IF(AD33=21,J33,0)</f>
        <v>0</v>
      </c>
      <c r="AD33" s="36">
        <v>21</v>
      </c>
      <c r="AE33" s="36">
        <f>G33*0</f>
        <v>0</v>
      </c>
      <c r="AF33" s="36">
        <f>G33*(1-0)</f>
        <v>0</v>
      </c>
      <c r="AG33" s="32" t="s">
        <v>7</v>
      </c>
      <c r="AM33" s="36">
        <f>F33*AE33</f>
        <v>0</v>
      </c>
      <c r="AN33" s="36">
        <f>F33*AF33</f>
        <v>0</v>
      </c>
      <c r="AO33" s="37" t="s">
        <v>1053</v>
      </c>
      <c r="AP33" s="37" t="s">
        <v>1089</v>
      </c>
      <c r="AQ33" s="29" t="s">
        <v>1101</v>
      </c>
      <c r="AS33" s="36">
        <f>AM33+AN33</f>
        <v>0</v>
      </c>
      <c r="AT33" s="36">
        <f>G33/(100-AU33)*100</f>
        <v>0</v>
      </c>
      <c r="AU33" s="36">
        <v>0</v>
      </c>
      <c r="AV33" s="36">
        <f>L33</f>
        <v>0</v>
      </c>
    </row>
    <row r="34" spans="4:6" ht="12.75">
      <c r="D34" s="17" t="s">
        <v>546</v>
      </c>
      <c r="F34" s="21">
        <v>32.058</v>
      </c>
    </row>
    <row r="35" spans="3:13" ht="12.75">
      <c r="C35" s="14" t="s">
        <v>255</v>
      </c>
      <c r="D35" s="91" t="s">
        <v>547</v>
      </c>
      <c r="E35" s="92"/>
      <c r="F35" s="92"/>
      <c r="G35" s="92"/>
      <c r="H35" s="92"/>
      <c r="I35" s="92"/>
      <c r="J35" s="92"/>
      <c r="K35" s="92"/>
      <c r="L35" s="92"/>
      <c r="M35" s="92"/>
    </row>
    <row r="36" spans="1:48" ht="12.75">
      <c r="A36" s="4" t="s">
        <v>15</v>
      </c>
      <c r="B36" s="4"/>
      <c r="C36" s="4" t="s">
        <v>264</v>
      </c>
      <c r="D36" s="4" t="s">
        <v>545</v>
      </c>
      <c r="E36" s="4" t="s">
        <v>1014</v>
      </c>
      <c r="F36" s="20">
        <v>68.83438</v>
      </c>
      <c r="G36" s="20">
        <v>0</v>
      </c>
      <c r="H36" s="20">
        <f>F36*AE36</f>
        <v>0</v>
      </c>
      <c r="I36" s="20">
        <f>J36-H36</f>
        <v>0</v>
      </c>
      <c r="J36" s="20">
        <f>F36*G36</f>
        <v>0</v>
      </c>
      <c r="K36" s="20">
        <v>0</v>
      </c>
      <c r="L36" s="20">
        <f>F36*K36</f>
        <v>0</v>
      </c>
      <c r="M36" s="32" t="s">
        <v>1040</v>
      </c>
      <c r="P36" s="36">
        <f>IF(AG36="5",J36,0)</f>
        <v>0</v>
      </c>
      <c r="R36" s="36">
        <f>IF(AG36="1",H36,0)</f>
        <v>0</v>
      </c>
      <c r="S36" s="36">
        <f>IF(AG36="1",I36,0)</f>
        <v>0</v>
      </c>
      <c r="T36" s="36">
        <f>IF(AG36="7",H36,0)</f>
        <v>0</v>
      </c>
      <c r="U36" s="36">
        <f>IF(AG36="7",I36,0)</f>
        <v>0</v>
      </c>
      <c r="V36" s="36">
        <f>IF(AG36="2",H36,0)</f>
        <v>0</v>
      </c>
      <c r="W36" s="36">
        <f>IF(AG36="2",I36,0)</f>
        <v>0</v>
      </c>
      <c r="X36" s="36">
        <f>IF(AG36="0",J36,0)</f>
        <v>0</v>
      </c>
      <c r="Y36" s="29"/>
      <c r="Z36" s="20">
        <f>IF(AD36=0,J36,0)</f>
        <v>0</v>
      </c>
      <c r="AA36" s="20">
        <f>IF(AD36=15,J36,0)</f>
        <v>0</v>
      </c>
      <c r="AB36" s="20">
        <f>IF(AD36=21,J36,0)</f>
        <v>0</v>
      </c>
      <c r="AD36" s="36">
        <v>21</v>
      </c>
      <c r="AE36" s="36">
        <f>G36*0</f>
        <v>0</v>
      </c>
      <c r="AF36" s="36">
        <f>G36*(1-0)</f>
        <v>0</v>
      </c>
      <c r="AG36" s="32" t="s">
        <v>7</v>
      </c>
      <c r="AM36" s="36">
        <f>F36*AE36</f>
        <v>0</v>
      </c>
      <c r="AN36" s="36">
        <f>F36*AF36</f>
        <v>0</v>
      </c>
      <c r="AO36" s="37" t="s">
        <v>1053</v>
      </c>
      <c r="AP36" s="37" t="s">
        <v>1089</v>
      </c>
      <c r="AQ36" s="29" t="s">
        <v>1101</v>
      </c>
      <c r="AS36" s="36">
        <f>AM36+AN36</f>
        <v>0</v>
      </c>
      <c r="AT36" s="36">
        <f>G36/(100-AU36)*100</f>
        <v>0</v>
      </c>
      <c r="AU36" s="36">
        <v>0</v>
      </c>
      <c r="AV36" s="36">
        <f>L36</f>
        <v>0</v>
      </c>
    </row>
    <row r="37" spans="4:6" ht="12.75">
      <c r="D37" s="17" t="s">
        <v>548</v>
      </c>
      <c r="F37" s="21">
        <v>68.83438</v>
      </c>
    </row>
    <row r="38" spans="3:13" ht="12.75">
      <c r="C38" s="14" t="s">
        <v>255</v>
      </c>
      <c r="D38" s="91" t="s">
        <v>549</v>
      </c>
      <c r="E38" s="92"/>
      <c r="F38" s="92"/>
      <c r="G38" s="92"/>
      <c r="H38" s="92"/>
      <c r="I38" s="92"/>
      <c r="J38" s="92"/>
      <c r="K38" s="92"/>
      <c r="L38" s="92"/>
      <c r="M38" s="92"/>
    </row>
    <row r="39" spans="1:48" ht="12.75">
      <c r="A39" s="6" t="s">
        <v>16</v>
      </c>
      <c r="B39" s="6"/>
      <c r="C39" s="6" t="s">
        <v>265</v>
      </c>
      <c r="D39" s="6" t="s">
        <v>550</v>
      </c>
      <c r="E39" s="6" t="s">
        <v>1015</v>
      </c>
      <c r="F39" s="22">
        <v>143.33876</v>
      </c>
      <c r="G39" s="22">
        <v>0</v>
      </c>
      <c r="H39" s="22">
        <f>F39*AE39</f>
        <v>0</v>
      </c>
      <c r="I39" s="22">
        <f>J39-H39</f>
        <v>0</v>
      </c>
      <c r="J39" s="22">
        <f>F39*G39</f>
        <v>0</v>
      </c>
      <c r="K39" s="22">
        <v>1</v>
      </c>
      <c r="L39" s="22">
        <f>F39*K39</f>
        <v>143.33876</v>
      </c>
      <c r="M39" s="33" t="s">
        <v>1040</v>
      </c>
      <c r="P39" s="36">
        <f>IF(AG39="5",J39,0)</f>
        <v>0</v>
      </c>
      <c r="R39" s="36">
        <f>IF(AG39="1",H39,0)</f>
        <v>0</v>
      </c>
      <c r="S39" s="36">
        <f>IF(AG39="1",I39,0)</f>
        <v>0</v>
      </c>
      <c r="T39" s="36">
        <f>IF(AG39="7",H39,0)</f>
        <v>0</v>
      </c>
      <c r="U39" s="36">
        <f>IF(AG39="7",I39,0)</f>
        <v>0</v>
      </c>
      <c r="V39" s="36">
        <f>IF(AG39="2",H39,0)</f>
        <v>0</v>
      </c>
      <c r="W39" s="36">
        <f>IF(AG39="2",I39,0)</f>
        <v>0</v>
      </c>
      <c r="X39" s="36">
        <f>IF(AG39="0",J39,0)</f>
        <v>0</v>
      </c>
      <c r="Y39" s="29"/>
      <c r="Z39" s="22">
        <f>IF(AD39=0,J39,0)</f>
        <v>0</v>
      </c>
      <c r="AA39" s="22">
        <f>IF(AD39=15,J39,0)</f>
        <v>0</v>
      </c>
      <c r="AB39" s="22">
        <f>IF(AD39=21,J39,0)</f>
        <v>0</v>
      </c>
      <c r="AD39" s="36">
        <v>21</v>
      </c>
      <c r="AE39" s="36">
        <f>G39*1</f>
        <v>0</v>
      </c>
      <c r="AF39" s="36">
        <f>G39*(1-1)</f>
        <v>0</v>
      </c>
      <c r="AG39" s="33" t="s">
        <v>7</v>
      </c>
      <c r="AM39" s="36">
        <f>F39*AE39</f>
        <v>0</v>
      </c>
      <c r="AN39" s="36">
        <f>F39*AF39</f>
        <v>0</v>
      </c>
      <c r="AO39" s="37" t="s">
        <v>1053</v>
      </c>
      <c r="AP39" s="37" t="s">
        <v>1089</v>
      </c>
      <c r="AQ39" s="29" t="s">
        <v>1101</v>
      </c>
      <c r="AS39" s="36">
        <f>AM39+AN39</f>
        <v>0</v>
      </c>
      <c r="AT39" s="36">
        <f>G39/(100-AU39)*100</f>
        <v>0</v>
      </c>
      <c r="AU39" s="36">
        <v>0</v>
      </c>
      <c r="AV39" s="36">
        <f>L39</f>
        <v>143.33876</v>
      </c>
    </row>
    <row r="40" spans="4:6" ht="12.75">
      <c r="D40" s="17" t="s">
        <v>551</v>
      </c>
      <c r="F40" s="21">
        <v>143.33876</v>
      </c>
    </row>
    <row r="41" spans="1:48" ht="12.75">
      <c r="A41" s="4" t="s">
        <v>17</v>
      </c>
      <c r="B41" s="4"/>
      <c r="C41" s="4" t="s">
        <v>266</v>
      </c>
      <c r="D41" s="4" t="s">
        <v>552</v>
      </c>
      <c r="E41" s="4" t="s">
        <v>1014</v>
      </c>
      <c r="F41" s="20">
        <v>2.835</v>
      </c>
      <c r="G41" s="20">
        <v>0</v>
      </c>
      <c r="H41" s="20">
        <f>F41*AE41</f>
        <v>0</v>
      </c>
      <c r="I41" s="20">
        <f>J41-H41</f>
        <v>0</v>
      </c>
      <c r="J41" s="20">
        <f>F41*G41</f>
        <v>0</v>
      </c>
      <c r="K41" s="20">
        <v>0</v>
      </c>
      <c r="L41" s="20">
        <f>F41*K41</f>
        <v>0</v>
      </c>
      <c r="M41" s="32" t="s">
        <v>1040</v>
      </c>
      <c r="P41" s="36">
        <f>IF(AG41="5",J41,0)</f>
        <v>0</v>
      </c>
      <c r="R41" s="36">
        <f>IF(AG41="1",H41,0)</f>
        <v>0</v>
      </c>
      <c r="S41" s="36">
        <f>IF(AG41="1",I41,0)</f>
        <v>0</v>
      </c>
      <c r="T41" s="36">
        <f>IF(AG41="7",H41,0)</f>
        <v>0</v>
      </c>
      <c r="U41" s="36">
        <f>IF(AG41="7",I41,0)</f>
        <v>0</v>
      </c>
      <c r="V41" s="36">
        <f>IF(AG41="2",H41,0)</f>
        <v>0</v>
      </c>
      <c r="W41" s="36">
        <f>IF(AG41="2",I41,0)</f>
        <v>0</v>
      </c>
      <c r="X41" s="36">
        <f>IF(AG41="0",J41,0)</f>
        <v>0</v>
      </c>
      <c r="Y41" s="29"/>
      <c r="Z41" s="20">
        <f>IF(AD41=0,J41,0)</f>
        <v>0</v>
      </c>
      <c r="AA41" s="20">
        <f>IF(AD41=15,J41,0)</f>
        <v>0</v>
      </c>
      <c r="AB41" s="20">
        <f>IF(AD41=21,J41,0)</f>
        <v>0</v>
      </c>
      <c r="AD41" s="36">
        <v>21</v>
      </c>
      <c r="AE41" s="36">
        <f>G41*0</f>
        <v>0</v>
      </c>
      <c r="AF41" s="36">
        <f>G41*(1-0)</f>
        <v>0</v>
      </c>
      <c r="AG41" s="32" t="s">
        <v>7</v>
      </c>
      <c r="AM41" s="36">
        <f>F41*AE41</f>
        <v>0</v>
      </c>
      <c r="AN41" s="36">
        <f>F41*AF41</f>
        <v>0</v>
      </c>
      <c r="AO41" s="37" t="s">
        <v>1053</v>
      </c>
      <c r="AP41" s="37" t="s">
        <v>1089</v>
      </c>
      <c r="AQ41" s="29" t="s">
        <v>1101</v>
      </c>
      <c r="AS41" s="36">
        <f>AM41+AN41</f>
        <v>0</v>
      </c>
      <c r="AT41" s="36">
        <f>G41/(100-AU41)*100</f>
        <v>0</v>
      </c>
      <c r="AU41" s="36">
        <v>0</v>
      </c>
      <c r="AV41" s="36">
        <f>L41</f>
        <v>0</v>
      </c>
    </row>
    <row r="42" spans="4:6" ht="12.75">
      <c r="D42" s="17" t="s">
        <v>553</v>
      </c>
      <c r="F42" s="21">
        <v>2.835</v>
      </c>
    </row>
    <row r="43" spans="3:13" ht="12.75">
      <c r="C43" s="14" t="s">
        <v>255</v>
      </c>
      <c r="D43" s="91" t="s">
        <v>554</v>
      </c>
      <c r="E43" s="92"/>
      <c r="F43" s="92"/>
      <c r="G43" s="92"/>
      <c r="H43" s="92"/>
      <c r="I43" s="92"/>
      <c r="J43" s="92"/>
      <c r="K43" s="92"/>
      <c r="L43" s="92"/>
      <c r="M43" s="92"/>
    </row>
    <row r="44" spans="1:48" ht="12.75">
      <c r="A44" s="4" t="s">
        <v>18</v>
      </c>
      <c r="B44" s="4"/>
      <c r="C44" s="4" t="s">
        <v>264</v>
      </c>
      <c r="D44" s="4" t="s">
        <v>545</v>
      </c>
      <c r="E44" s="4" t="s">
        <v>1014</v>
      </c>
      <c r="F44" s="20">
        <v>4.48</v>
      </c>
      <c r="G44" s="20">
        <v>0</v>
      </c>
      <c r="H44" s="20">
        <f>F44*AE44</f>
        <v>0</v>
      </c>
      <c r="I44" s="20">
        <f>J44-H44</f>
        <v>0</v>
      </c>
      <c r="J44" s="20">
        <f>F44*G44</f>
        <v>0</v>
      </c>
      <c r="K44" s="20">
        <v>0</v>
      </c>
      <c r="L44" s="20">
        <f>F44*K44</f>
        <v>0</v>
      </c>
      <c r="M44" s="32" t="s">
        <v>1040</v>
      </c>
      <c r="P44" s="36">
        <f>IF(AG44="5",J44,0)</f>
        <v>0</v>
      </c>
      <c r="R44" s="36">
        <f>IF(AG44="1",H44,0)</f>
        <v>0</v>
      </c>
      <c r="S44" s="36">
        <f>IF(AG44="1",I44,0)</f>
        <v>0</v>
      </c>
      <c r="T44" s="36">
        <f>IF(AG44="7",H44,0)</f>
        <v>0</v>
      </c>
      <c r="U44" s="36">
        <f>IF(AG44="7",I44,0)</f>
        <v>0</v>
      </c>
      <c r="V44" s="36">
        <f>IF(AG44="2",H44,0)</f>
        <v>0</v>
      </c>
      <c r="W44" s="36">
        <f>IF(AG44="2",I44,0)</f>
        <v>0</v>
      </c>
      <c r="X44" s="36">
        <f>IF(AG44="0",J44,0)</f>
        <v>0</v>
      </c>
      <c r="Y44" s="29"/>
      <c r="Z44" s="20">
        <f>IF(AD44=0,J44,0)</f>
        <v>0</v>
      </c>
      <c r="AA44" s="20">
        <f>IF(AD44=15,J44,0)</f>
        <v>0</v>
      </c>
      <c r="AB44" s="20">
        <f>IF(AD44=21,J44,0)</f>
        <v>0</v>
      </c>
      <c r="AD44" s="36">
        <v>21</v>
      </c>
      <c r="AE44" s="36">
        <f>G44*0</f>
        <v>0</v>
      </c>
      <c r="AF44" s="36">
        <f>G44*(1-0)</f>
        <v>0</v>
      </c>
      <c r="AG44" s="32" t="s">
        <v>7</v>
      </c>
      <c r="AM44" s="36">
        <f>F44*AE44</f>
        <v>0</v>
      </c>
      <c r="AN44" s="36">
        <f>F44*AF44</f>
        <v>0</v>
      </c>
      <c r="AO44" s="37" t="s">
        <v>1053</v>
      </c>
      <c r="AP44" s="37" t="s">
        <v>1089</v>
      </c>
      <c r="AQ44" s="29" t="s">
        <v>1101</v>
      </c>
      <c r="AS44" s="36">
        <f>AM44+AN44</f>
        <v>0</v>
      </c>
      <c r="AT44" s="36">
        <f>G44/(100-AU44)*100</f>
        <v>0</v>
      </c>
      <c r="AU44" s="36">
        <v>0</v>
      </c>
      <c r="AV44" s="36">
        <f>L44</f>
        <v>0</v>
      </c>
    </row>
    <row r="45" spans="4:6" ht="12.75">
      <c r="D45" s="17" t="s">
        <v>555</v>
      </c>
      <c r="F45" s="21">
        <v>4.48</v>
      </c>
    </row>
    <row r="46" spans="1:48" ht="12.75">
      <c r="A46" s="4" t="s">
        <v>19</v>
      </c>
      <c r="B46" s="4"/>
      <c r="C46" s="4" t="s">
        <v>267</v>
      </c>
      <c r="D46" s="4" t="s">
        <v>556</v>
      </c>
      <c r="E46" s="4" t="s">
        <v>1014</v>
      </c>
      <c r="F46" s="20">
        <v>2.925</v>
      </c>
      <c r="G46" s="20">
        <v>0</v>
      </c>
      <c r="H46" s="20">
        <f>F46*AE46</f>
        <v>0</v>
      </c>
      <c r="I46" s="20">
        <f>J46-H46</f>
        <v>0</v>
      </c>
      <c r="J46" s="20">
        <f>F46*G46</f>
        <v>0</v>
      </c>
      <c r="K46" s="20">
        <v>1.67</v>
      </c>
      <c r="L46" s="20">
        <f>F46*K46</f>
        <v>4.8847499999999995</v>
      </c>
      <c r="M46" s="32" t="s">
        <v>1040</v>
      </c>
      <c r="P46" s="36">
        <f>IF(AG46="5",J46,0)</f>
        <v>0</v>
      </c>
      <c r="R46" s="36">
        <f>IF(AG46="1",H46,0)</f>
        <v>0</v>
      </c>
      <c r="S46" s="36">
        <f>IF(AG46="1",I46,0)</f>
        <v>0</v>
      </c>
      <c r="T46" s="36">
        <f>IF(AG46="7",H46,0)</f>
        <v>0</v>
      </c>
      <c r="U46" s="36">
        <f>IF(AG46="7",I46,0)</f>
        <v>0</v>
      </c>
      <c r="V46" s="36">
        <f>IF(AG46="2",H46,0)</f>
        <v>0</v>
      </c>
      <c r="W46" s="36">
        <f>IF(AG46="2",I46,0)</f>
        <v>0</v>
      </c>
      <c r="X46" s="36">
        <f>IF(AG46="0",J46,0)</f>
        <v>0</v>
      </c>
      <c r="Y46" s="29"/>
      <c r="Z46" s="20">
        <f>IF(AD46=0,J46,0)</f>
        <v>0</v>
      </c>
      <c r="AA46" s="20">
        <f>IF(AD46=15,J46,0)</f>
        <v>0</v>
      </c>
      <c r="AB46" s="20">
        <f>IF(AD46=21,J46,0)</f>
        <v>0</v>
      </c>
      <c r="AD46" s="36">
        <v>21</v>
      </c>
      <c r="AE46" s="36">
        <f>G46*0.788663623819127</f>
        <v>0</v>
      </c>
      <c r="AF46" s="36">
        <f>G46*(1-0.788663623819127)</f>
        <v>0</v>
      </c>
      <c r="AG46" s="32" t="s">
        <v>7</v>
      </c>
      <c r="AM46" s="36">
        <f>F46*AE46</f>
        <v>0</v>
      </c>
      <c r="AN46" s="36">
        <f>F46*AF46</f>
        <v>0</v>
      </c>
      <c r="AO46" s="37" t="s">
        <v>1053</v>
      </c>
      <c r="AP46" s="37" t="s">
        <v>1089</v>
      </c>
      <c r="AQ46" s="29" t="s">
        <v>1101</v>
      </c>
      <c r="AS46" s="36">
        <f>AM46+AN46</f>
        <v>0</v>
      </c>
      <c r="AT46" s="36">
        <f>G46/(100-AU46)*100</f>
        <v>0</v>
      </c>
      <c r="AU46" s="36">
        <v>0</v>
      </c>
      <c r="AV46" s="36">
        <f>L46</f>
        <v>4.8847499999999995</v>
      </c>
    </row>
    <row r="47" spans="4:6" ht="12.75">
      <c r="D47" s="17" t="s">
        <v>557</v>
      </c>
      <c r="F47" s="21">
        <v>2.925</v>
      </c>
    </row>
    <row r="48" spans="1:37" ht="12.75">
      <c r="A48" s="5"/>
      <c r="B48" s="13"/>
      <c r="C48" s="13" t="s">
        <v>24</v>
      </c>
      <c r="D48" s="93" t="s">
        <v>558</v>
      </c>
      <c r="E48" s="94"/>
      <c r="F48" s="94"/>
      <c r="G48" s="94"/>
      <c r="H48" s="39">
        <f>SUM(H49:H54)</f>
        <v>0</v>
      </c>
      <c r="I48" s="39">
        <f>SUM(I49:I54)</f>
        <v>0</v>
      </c>
      <c r="J48" s="39">
        <f>H48+I48</f>
        <v>0</v>
      </c>
      <c r="K48" s="29"/>
      <c r="L48" s="39">
        <f>SUM(L49:L54)</f>
        <v>0.00326</v>
      </c>
      <c r="M48" s="29"/>
      <c r="Y48" s="29"/>
      <c r="AI48" s="39">
        <f>SUM(Z49:Z54)</f>
        <v>0</v>
      </c>
      <c r="AJ48" s="39">
        <f>SUM(AA49:AA54)</f>
        <v>0</v>
      </c>
      <c r="AK48" s="39">
        <f>SUM(AB49:AB54)</f>
        <v>0</v>
      </c>
    </row>
    <row r="49" spans="1:48" ht="12.75">
      <c r="A49" s="4" t="s">
        <v>20</v>
      </c>
      <c r="B49" s="4"/>
      <c r="C49" s="4" t="s">
        <v>268</v>
      </c>
      <c r="D49" s="4" t="s">
        <v>559</v>
      </c>
      <c r="E49" s="4" t="s">
        <v>1016</v>
      </c>
      <c r="F49" s="20">
        <v>140.015</v>
      </c>
      <c r="G49" s="20">
        <v>0</v>
      </c>
      <c r="H49" s="20">
        <f>F49*AE49</f>
        <v>0</v>
      </c>
      <c r="I49" s="20">
        <f>J49-H49</f>
        <v>0</v>
      </c>
      <c r="J49" s="20">
        <f>F49*G49</f>
        <v>0</v>
      </c>
      <c r="K49" s="20">
        <v>0</v>
      </c>
      <c r="L49" s="20">
        <f>F49*K49</f>
        <v>0</v>
      </c>
      <c r="M49" s="32" t="s">
        <v>1040</v>
      </c>
      <c r="P49" s="36">
        <f>IF(AG49="5",J49,0)</f>
        <v>0</v>
      </c>
      <c r="R49" s="36">
        <f>IF(AG49="1",H49,0)</f>
        <v>0</v>
      </c>
      <c r="S49" s="36">
        <f>IF(AG49="1",I49,0)</f>
        <v>0</v>
      </c>
      <c r="T49" s="36">
        <f>IF(AG49="7",H49,0)</f>
        <v>0</v>
      </c>
      <c r="U49" s="36">
        <f>IF(AG49="7",I49,0)</f>
        <v>0</v>
      </c>
      <c r="V49" s="36">
        <f>IF(AG49="2",H49,0)</f>
        <v>0</v>
      </c>
      <c r="W49" s="36">
        <f>IF(AG49="2",I49,0)</f>
        <v>0</v>
      </c>
      <c r="X49" s="36">
        <f>IF(AG49="0",J49,0)</f>
        <v>0</v>
      </c>
      <c r="Y49" s="29"/>
      <c r="Z49" s="20">
        <f>IF(AD49=0,J49,0)</f>
        <v>0</v>
      </c>
      <c r="AA49" s="20">
        <f>IF(AD49=15,J49,0)</f>
        <v>0</v>
      </c>
      <c r="AB49" s="20">
        <f>IF(AD49=21,J49,0)</f>
        <v>0</v>
      </c>
      <c r="AD49" s="36">
        <v>21</v>
      </c>
      <c r="AE49" s="36">
        <f>G49*0</f>
        <v>0</v>
      </c>
      <c r="AF49" s="36">
        <f>G49*(1-0)</f>
        <v>0</v>
      </c>
      <c r="AG49" s="32" t="s">
        <v>7</v>
      </c>
      <c r="AM49" s="36">
        <f>F49*AE49</f>
        <v>0</v>
      </c>
      <c r="AN49" s="36">
        <f>F49*AF49</f>
        <v>0</v>
      </c>
      <c r="AO49" s="37" t="s">
        <v>1054</v>
      </c>
      <c r="AP49" s="37" t="s">
        <v>1089</v>
      </c>
      <c r="AQ49" s="29" t="s">
        <v>1101</v>
      </c>
      <c r="AS49" s="36">
        <f>AM49+AN49</f>
        <v>0</v>
      </c>
      <c r="AT49" s="36">
        <f>G49/(100-AU49)*100</f>
        <v>0</v>
      </c>
      <c r="AU49" s="36">
        <v>0</v>
      </c>
      <c r="AV49" s="36">
        <f>L49</f>
        <v>0</v>
      </c>
    </row>
    <row r="50" spans="4:6" ht="12.75">
      <c r="D50" s="17" t="s">
        <v>560</v>
      </c>
      <c r="F50" s="21">
        <v>140.015</v>
      </c>
    </row>
    <row r="51" spans="1:48" ht="12.75">
      <c r="A51" s="4" t="s">
        <v>21</v>
      </c>
      <c r="B51" s="4"/>
      <c r="C51" s="4" t="s">
        <v>269</v>
      </c>
      <c r="D51" s="4" t="s">
        <v>561</v>
      </c>
      <c r="E51" s="4" t="s">
        <v>1016</v>
      </c>
      <c r="F51" s="20">
        <v>140.015</v>
      </c>
      <c r="G51" s="20">
        <v>0</v>
      </c>
      <c r="H51" s="20">
        <f>F51*AE51</f>
        <v>0</v>
      </c>
      <c r="I51" s="20">
        <f>J51-H51</f>
        <v>0</v>
      </c>
      <c r="J51" s="20">
        <f>F51*G51</f>
        <v>0</v>
      </c>
      <c r="K51" s="20">
        <v>0</v>
      </c>
      <c r="L51" s="20">
        <f>F51*K51</f>
        <v>0</v>
      </c>
      <c r="M51" s="32" t="s">
        <v>1040</v>
      </c>
      <c r="P51" s="36">
        <f>IF(AG51="5",J51,0)</f>
        <v>0</v>
      </c>
      <c r="R51" s="36">
        <f>IF(AG51="1",H51,0)</f>
        <v>0</v>
      </c>
      <c r="S51" s="36">
        <f>IF(AG51="1",I51,0)</f>
        <v>0</v>
      </c>
      <c r="T51" s="36">
        <f>IF(AG51="7",H51,0)</f>
        <v>0</v>
      </c>
      <c r="U51" s="36">
        <f>IF(AG51="7",I51,0)</f>
        <v>0</v>
      </c>
      <c r="V51" s="36">
        <f>IF(AG51="2",H51,0)</f>
        <v>0</v>
      </c>
      <c r="W51" s="36">
        <f>IF(AG51="2",I51,0)</f>
        <v>0</v>
      </c>
      <c r="X51" s="36">
        <f>IF(AG51="0",J51,0)</f>
        <v>0</v>
      </c>
      <c r="Y51" s="29"/>
      <c r="Z51" s="20">
        <f>IF(AD51=0,J51,0)</f>
        <v>0</v>
      </c>
      <c r="AA51" s="20">
        <f>IF(AD51=15,J51,0)</f>
        <v>0</v>
      </c>
      <c r="AB51" s="20">
        <f>IF(AD51=21,J51,0)</f>
        <v>0</v>
      </c>
      <c r="AD51" s="36">
        <v>21</v>
      </c>
      <c r="AE51" s="36">
        <f>G51*0</f>
        <v>0</v>
      </c>
      <c r="AF51" s="36">
        <f>G51*(1-0)</f>
        <v>0</v>
      </c>
      <c r="AG51" s="32" t="s">
        <v>7</v>
      </c>
      <c r="AM51" s="36">
        <f>F51*AE51</f>
        <v>0</v>
      </c>
      <c r="AN51" s="36">
        <f>F51*AF51</f>
        <v>0</v>
      </c>
      <c r="AO51" s="37" t="s">
        <v>1054</v>
      </c>
      <c r="AP51" s="37" t="s">
        <v>1089</v>
      </c>
      <c r="AQ51" s="29" t="s">
        <v>1101</v>
      </c>
      <c r="AS51" s="36">
        <f>AM51+AN51</f>
        <v>0</v>
      </c>
      <c r="AT51" s="36">
        <f>G51/(100-AU51)*100</f>
        <v>0</v>
      </c>
      <c r="AU51" s="36">
        <v>0</v>
      </c>
      <c r="AV51" s="36">
        <f>L51</f>
        <v>0</v>
      </c>
    </row>
    <row r="52" spans="1:48" ht="12.75">
      <c r="A52" s="4" t="s">
        <v>22</v>
      </c>
      <c r="B52" s="4"/>
      <c r="C52" s="4" t="s">
        <v>270</v>
      </c>
      <c r="D52" s="4" t="s">
        <v>562</v>
      </c>
      <c r="E52" s="4" t="s">
        <v>1016</v>
      </c>
      <c r="F52" s="20">
        <v>140.015</v>
      </c>
      <c r="G52" s="20">
        <v>0</v>
      </c>
      <c r="H52" s="20">
        <f>F52*AE52</f>
        <v>0</v>
      </c>
      <c r="I52" s="20">
        <f>J52-H52</f>
        <v>0</v>
      </c>
      <c r="J52" s="20">
        <f>F52*G52</f>
        <v>0</v>
      </c>
      <c r="K52" s="20">
        <v>0</v>
      </c>
      <c r="L52" s="20">
        <f>F52*K52</f>
        <v>0</v>
      </c>
      <c r="M52" s="32" t="s">
        <v>1040</v>
      </c>
      <c r="P52" s="36">
        <f>IF(AG52="5",J52,0)</f>
        <v>0</v>
      </c>
      <c r="R52" s="36">
        <f>IF(AG52="1",H52,0)</f>
        <v>0</v>
      </c>
      <c r="S52" s="36">
        <f>IF(AG52="1",I52,0)</f>
        <v>0</v>
      </c>
      <c r="T52" s="36">
        <f>IF(AG52="7",H52,0)</f>
        <v>0</v>
      </c>
      <c r="U52" s="36">
        <f>IF(AG52="7",I52,0)</f>
        <v>0</v>
      </c>
      <c r="V52" s="36">
        <f>IF(AG52="2",H52,0)</f>
        <v>0</v>
      </c>
      <c r="W52" s="36">
        <f>IF(AG52="2",I52,0)</f>
        <v>0</v>
      </c>
      <c r="X52" s="36">
        <f>IF(AG52="0",J52,0)</f>
        <v>0</v>
      </c>
      <c r="Y52" s="29"/>
      <c r="Z52" s="20">
        <f>IF(AD52=0,J52,0)</f>
        <v>0</v>
      </c>
      <c r="AA52" s="20">
        <f>IF(AD52=15,J52,0)</f>
        <v>0</v>
      </c>
      <c r="AB52" s="20">
        <f>IF(AD52=21,J52,0)</f>
        <v>0</v>
      </c>
      <c r="AD52" s="36">
        <v>21</v>
      </c>
      <c r="AE52" s="36">
        <f>G52*0.0888888888888889</f>
        <v>0</v>
      </c>
      <c r="AF52" s="36">
        <f>G52*(1-0.0888888888888889)</f>
        <v>0</v>
      </c>
      <c r="AG52" s="32" t="s">
        <v>7</v>
      </c>
      <c r="AM52" s="36">
        <f>F52*AE52</f>
        <v>0</v>
      </c>
      <c r="AN52" s="36">
        <f>F52*AF52</f>
        <v>0</v>
      </c>
      <c r="AO52" s="37" t="s">
        <v>1054</v>
      </c>
      <c r="AP52" s="37" t="s">
        <v>1089</v>
      </c>
      <c r="AQ52" s="29" t="s">
        <v>1101</v>
      </c>
      <c r="AS52" s="36">
        <f>AM52+AN52</f>
        <v>0</v>
      </c>
      <c r="AT52" s="36">
        <f>G52/(100-AU52)*100</f>
        <v>0</v>
      </c>
      <c r="AU52" s="36">
        <v>0</v>
      </c>
      <c r="AV52" s="36">
        <f>L52</f>
        <v>0</v>
      </c>
    </row>
    <row r="53" spans="1:48" ht="12.75">
      <c r="A53" s="6" t="s">
        <v>23</v>
      </c>
      <c r="B53" s="6"/>
      <c r="C53" s="6" t="s">
        <v>271</v>
      </c>
      <c r="D53" s="6" t="s">
        <v>563</v>
      </c>
      <c r="E53" s="6" t="s">
        <v>1017</v>
      </c>
      <c r="F53" s="22">
        <v>3.26</v>
      </c>
      <c r="G53" s="22">
        <v>0</v>
      </c>
      <c r="H53" s="22">
        <f>F53*AE53</f>
        <v>0</v>
      </c>
      <c r="I53" s="22">
        <f>J53-H53</f>
        <v>0</v>
      </c>
      <c r="J53" s="22">
        <f>F53*G53</f>
        <v>0</v>
      </c>
      <c r="K53" s="22">
        <v>0.001</v>
      </c>
      <c r="L53" s="22">
        <f>F53*K53</f>
        <v>0.00326</v>
      </c>
      <c r="M53" s="33" t="s">
        <v>1040</v>
      </c>
      <c r="P53" s="36">
        <f>IF(AG53="5",J53,0)</f>
        <v>0</v>
      </c>
      <c r="R53" s="36">
        <f>IF(AG53="1",H53,0)</f>
        <v>0</v>
      </c>
      <c r="S53" s="36">
        <f>IF(AG53="1",I53,0)</f>
        <v>0</v>
      </c>
      <c r="T53" s="36">
        <f>IF(AG53="7",H53,0)</f>
        <v>0</v>
      </c>
      <c r="U53" s="36">
        <f>IF(AG53="7",I53,0)</f>
        <v>0</v>
      </c>
      <c r="V53" s="36">
        <f>IF(AG53="2",H53,0)</f>
        <v>0</v>
      </c>
      <c r="W53" s="36">
        <f>IF(AG53="2",I53,0)</f>
        <v>0</v>
      </c>
      <c r="X53" s="36">
        <f>IF(AG53="0",J53,0)</f>
        <v>0</v>
      </c>
      <c r="Y53" s="29"/>
      <c r="Z53" s="22">
        <f>IF(AD53=0,J53,0)</f>
        <v>0</v>
      </c>
      <c r="AA53" s="22">
        <f>IF(AD53=15,J53,0)</f>
        <v>0</v>
      </c>
      <c r="AB53" s="22">
        <f>IF(AD53=21,J53,0)</f>
        <v>0</v>
      </c>
      <c r="AD53" s="36">
        <v>21</v>
      </c>
      <c r="AE53" s="36">
        <f>G53*1</f>
        <v>0</v>
      </c>
      <c r="AF53" s="36">
        <f>G53*(1-1)</f>
        <v>0</v>
      </c>
      <c r="AG53" s="33" t="s">
        <v>7</v>
      </c>
      <c r="AM53" s="36">
        <f>F53*AE53</f>
        <v>0</v>
      </c>
      <c r="AN53" s="36">
        <f>F53*AF53</f>
        <v>0</v>
      </c>
      <c r="AO53" s="37" t="s">
        <v>1054</v>
      </c>
      <c r="AP53" s="37" t="s">
        <v>1089</v>
      </c>
      <c r="AQ53" s="29" t="s">
        <v>1101</v>
      </c>
      <c r="AS53" s="36">
        <f>AM53+AN53</f>
        <v>0</v>
      </c>
      <c r="AT53" s="36">
        <f>G53/(100-AU53)*100</f>
        <v>0</v>
      </c>
      <c r="AU53" s="36">
        <v>0</v>
      </c>
      <c r="AV53" s="36">
        <f>L53</f>
        <v>0.00326</v>
      </c>
    </row>
    <row r="54" spans="1:48" ht="12.75">
      <c r="A54" s="4" t="s">
        <v>24</v>
      </c>
      <c r="B54" s="4"/>
      <c r="C54" s="4" t="s">
        <v>272</v>
      </c>
      <c r="D54" s="4" t="s">
        <v>564</v>
      </c>
      <c r="E54" s="4" t="s">
        <v>1016</v>
      </c>
      <c r="F54" s="20">
        <v>53.505</v>
      </c>
      <c r="G54" s="20">
        <v>0</v>
      </c>
      <c r="H54" s="20">
        <f>F54*AE54</f>
        <v>0</v>
      </c>
      <c r="I54" s="20">
        <f>J54-H54</f>
        <v>0</v>
      </c>
      <c r="J54" s="20">
        <f>F54*G54</f>
        <v>0</v>
      </c>
      <c r="K54" s="20">
        <v>0</v>
      </c>
      <c r="L54" s="20">
        <f>F54*K54</f>
        <v>0</v>
      </c>
      <c r="M54" s="32" t="s">
        <v>1040</v>
      </c>
      <c r="P54" s="36">
        <f>IF(AG54="5",J54,0)</f>
        <v>0</v>
      </c>
      <c r="R54" s="36">
        <f>IF(AG54="1",H54,0)</f>
        <v>0</v>
      </c>
      <c r="S54" s="36">
        <f>IF(AG54="1",I54,0)</f>
        <v>0</v>
      </c>
      <c r="T54" s="36">
        <f>IF(AG54="7",H54,0)</f>
        <v>0</v>
      </c>
      <c r="U54" s="36">
        <f>IF(AG54="7",I54,0)</f>
        <v>0</v>
      </c>
      <c r="V54" s="36">
        <f>IF(AG54="2",H54,0)</f>
        <v>0</v>
      </c>
      <c r="W54" s="36">
        <f>IF(AG54="2",I54,0)</f>
        <v>0</v>
      </c>
      <c r="X54" s="36">
        <f>IF(AG54="0",J54,0)</f>
        <v>0</v>
      </c>
      <c r="Y54" s="29"/>
      <c r="Z54" s="20">
        <f>IF(AD54=0,J54,0)</f>
        <v>0</v>
      </c>
      <c r="AA54" s="20">
        <f>IF(AD54=15,J54,0)</f>
        <v>0</v>
      </c>
      <c r="AB54" s="20">
        <f>IF(AD54=21,J54,0)</f>
        <v>0</v>
      </c>
      <c r="AD54" s="36">
        <v>21</v>
      </c>
      <c r="AE54" s="36">
        <f>G54*0</f>
        <v>0</v>
      </c>
      <c r="AF54" s="36">
        <f>G54*(1-0)</f>
        <v>0</v>
      </c>
      <c r="AG54" s="32" t="s">
        <v>7</v>
      </c>
      <c r="AM54" s="36">
        <f>F54*AE54</f>
        <v>0</v>
      </c>
      <c r="AN54" s="36">
        <f>F54*AF54</f>
        <v>0</v>
      </c>
      <c r="AO54" s="37" t="s">
        <v>1054</v>
      </c>
      <c r="AP54" s="37" t="s">
        <v>1089</v>
      </c>
      <c r="AQ54" s="29" t="s">
        <v>1101</v>
      </c>
      <c r="AS54" s="36">
        <f>AM54+AN54</f>
        <v>0</v>
      </c>
      <c r="AT54" s="36">
        <f>G54/(100-AU54)*100</f>
        <v>0</v>
      </c>
      <c r="AU54" s="36">
        <v>0</v>
      </c>
      <c r="AV54" s="36">
        <f>L54</f>
        <v>0</v>
      </c>
    </row>
    <row r="55" spans="4:6" ht="12.75">
      <c r="D55" s="17" t="s">
        <v>565</v>
      </c>
      <c r="F55" s="21">
        <v>53.505</v>
      </c>
    </row>
    <row r="56" spans="1:37" ht="12.75">
      <c r="A56" s="5"/>
      <c r="B56" s="13"/>
      <c r="C56" s="13" t="s">
        <v>33</v>
      </c>
      <c r="D56" s="93" t="s">
        <v>566</v>
      </c>
      <c r="E56" s="94"/>
      <c r="F56" s="94"/>
      <c r="G56" s="94"/>
      <c r="H56" s="39">
        <f>SUM(H57:H66)</f>
        <v>0</v>
      </c>
      <c r="I56" s="39">
        <f>SUM(I57:I66)</f>
        <v>0</v>
      </c>
      <c r="J56" s="39">
        <f>H56+I56</f>
        <v>0</v>
      </c>
      <c r="K56" s="29"/>
      <c r="L56" s="39">
        <f>SUM(L57:L66)</f>
        <v>105.91251999859999</v>
      </c>
      <c r="M56" s="29"/>
      <c r="Y56" s="29"/>
      <c r="AI56" s="39">
        <f>SUM(Z57:Z66)</f>
        <v>0</v>
      </c>
      <c r="AJ56" s="39">
        <f>SUM(AA57:AA66)</f>
        <v>0</v>
      </c>
      <c r="AK56" s="39">
        <f>SUM(AB57:AB66)</f>
        <v>0</v>
      </c>
    </row>
    <row r="57" spans="1:48" ht="12.75">
      <c r="A57" s="4" t="s">
        <v>25</v>
      </c>
      <c r="B57" s="4"/>
      <c r="C57" s="4" t="s">
        <v>273</v>
      </c>
      <c r="D57" s="4" t="s">
        <v>567</v>
      </c>
      <c r="E57" s="4" t="s">
        <v>1014</v>
      </c>
      <c r="F57" s="20">
        <v>21.8325</v>
      </c>
      <c r="G57" s="20">
        <v>0</v>
      </c>
      <c r="H57" s="20">
        <f>F57*AE57</f>
        <v>0</v>
      </c>
      <c r="I57" s="20">
        <f>J57-H57</f>
        <v>0</v>
      </c>
      <c r="J57" s="20">
        <f>F57*G57</f>
        <v>0</v>
      </c>
      <c r="K57" s="20">
        <v>2.525</v>
      </c>
      <c r="L57" s="20">
        <f>F57*K57</f>
        <v>55.127062499999994</v>
      </c>
      <c r="M57" s="32" t="s">
        <v>1040</v>
      </c>
      <c r="P57" s="36">
        <f>IF(AG57="5",J57,0)</f>
        <v>0</v>
      </c>
      <c r="R57" s="36">
        <f>IF(AG57="1",H57,0)</f>
        <v>0</v>
      </c>
      <c r="S57" s="36">
        <f>IF(AG57="1",I57,0)</f>
        <v>0</v>
      </c>
      <c r="T57" s="36">
        <f>IF(AG57="7",H57,0)</f>
        <v>0</v>
      </c>
      <c r="U57" s="36">
        <f>IF(AG57="7",I57,0)</f>
        <v>0</v>
      </c>
      <c r="V57" s="36">
        <f>IF(AG57="2",H57,0)</f>
        <v>0</v>
      </c>
      <c r="W57" s="36">
        <f>IF(AG57="2",I57,0)</f>
        <v>0</v>
      </c>
      <c r="X57" s="36">
        <f>IF(AG57="0",J57,0)</f>
        <v>0</v>
      </c>
      <c r="Y57" s="29"/>
      <c r="Z57" s="20">
        <f>IF(AD57=0,J57,0)</f>
        <v>0</v>
      </c>
      <c r="AA57" s="20">
        <f>IF(AD57=15,J57,0)</f>
        <v>0</v>
      </c>
      <c r="AB57" s="20">
        <f>IF(AD57=21,J57,0)</f>
        <v>0</v>
      </c>
      <c r="AD57" s="36">
        <v>21</v>
      </c>
      <c r="AE57" s="36">
        <f>G57*0.90135139169037</f>
        <v>0</v>
      </c>
      <c r="AF57" s="36">
        <f>G57*(1-0.90135139169037)</f>
        <v>0</v>
      </c>
      <c r="AG57" s="32" t="s">
        <v>7</v>
      </c>
      <c r="AM57" s="36">
        <f>F57*AE57</f>
        <v>0</v>
      </c>
      <c r="AN57" s="36">
        <f>F57*AF57</f>
        <v>0</v>
      </c>
      <c r="AO57" s="37" t="s">
        <v>1055</v>
      </c>
      <c r="AP57" s="37" t="s">
        <v>1090</v>
      </c>
      <c r="AQ57" s="29" t="s">
        <v>1101</v>
      </c>
      <c r="AS57" s="36">
        <f>AM57+AN57</f>
        <v>0</v>
      </c>
      <c r="AT57" s="36">
        <f>G57/(100-AU57)*100</f>
        <v>0</v>
      </c>
      <c r="AU57" s="36">
        <v>0</v>
      </c>
      <c r="AV57" s="36">
        <f>L57</f>
        <v>55.127062499999994</v>
      </c>
    </row>
    <row r="58" spans="4:6" ht="12.75">
      <c r="D58" s="17" t="s">
        <v>533</v>
      </c>
      <c r="F58" s="21">
        <v>19.8525</v>
      </c>
    </row>
    <row r="59" spans="4:6" ht="12.75">
      <c r="D59" s="17" t="s">
        <v>568</v>
      </c>
      <c r="F59" s="21">
        <v>1.98</v>
      </c>
    </row>
    <row r="60" spans="1:48" ht="12.75">
      <c r="A60" s="4" t="s">
        <v>26</v>
      </c>
      <c r="B60" s="4"/>
      <c r="C60" s="4" t="s">
        <v>274</v>
      </c>
      <c r="D60" s="4" t="s">
        <v>569</v>
      </c>
      <c r="E60" s="4" t="s">
        <v>1016</v>
      </c>
      <c r="F60" s="20">
        <v>44.9625</v>
      </c>
      <c r="G60" s="20">
        <v>0</v>
      </c>
      <c r="H60" s="20">
        <f>F60*AE60</f>
        <v>0</v>
      </c>
      <c r="I60" s="20">
        <f>J60-H60</f>
        <v>0</v>
      </c>
      <c r="J60" s="20">
        <f>F60*G60</f>
        <v>0</v>
      </c>
      <c r="K60" s="20">
        <v>0.74</v>
      </c>
      <c r="L60" s="20">
        <f>F60*K60</f>
        <v>33.27225</v>
      </c>
      <c r="M60" s="32" t="s">
        <v>1040</v>
      </c>
      <c r="P60" s="36">
        <f>IF(AG60="5",J60,0)</f>
        <v>0</v>
      </c>
      <c r="R60" s="36">
        <f>IF(AG60="1",H60,0)</f>
        <v>0</v>
      </c>
      <c r="S60" s="36">
        <f>IF(AG60="1",I60,0)</f>
        <v>0</v>
      </c>
      <c r="T60" s="36">
        <f>IF(AG60="7",H60,0)</f>
        <v>0</v>
      </c>
      <c r="U60" s="36">
        <f>IF(AG60="7",I60,0)</f>
        <v>0</v>
      </c>
      <c r="V60" s="36">
        <f>IF(AG60="2",H60,0)</f>
        <v>0</v>
      </c>
      <c r="W60" s="36">
        <f>IF(AG60="2",I60,0)</f>
        <v>0</v>
      </c>
      <c r="X60" s="36">
        <f>IF(AG60="0",J60,0)</f>
        <v>0</v>
      </c>
      <c r="Y60" s="29"/>
      <c r="Z60" s="20">
        <f>IF(AD60=0,J60,0)</f>
        <v>0</v>
      </c>
      <c r="AA60" s="20">
        <f>IF(AD60=15,J60,0)</f>
        <v>0</v>
      </c>
      <c r="AB60" s="20">
        <f>IF(AD60=21,J60,0)</f>
        <v>0</v>
      </c>
      <c r="AD60" s="36">
        <v>21</v>
      </c>
      <c r="AE60" s="36">
        <f>G60*0.684816</f>
        <v>0</v>
      </c>
      <c r="AF60" s="36">
        <f>G60*(1-0.684816)</f>
        <v>0</v>
      </c>
      <c r="AG60" s="32" t="s">
        <v>7</v>
      </c>
      <c r="AM60" s="36">
        <f>F60*AE60</f>
        <v>0</v>
      </c>
      <c r="AN60" s="36">
        <f>F60*AF60</f>
        <v>0</v>
      </c>
      <c r="AO60" s="37" t="s">
        <v>1055</v>
      </c>
      <c r="AP60" s="37" t="s">
        <v>1090</v>
      </c>
      <c r="AQ60" s="29" t="s">
        <v>1101</v>
      </c>
      <c r="AS60" s="36">
        <f>AM60+AN60</f>
        <v>0</v>
      </c>
      <c r="AT60" s="36">
        <f>G60/(100-AU60)*100</f>
        <v>0</v>
      </c>
      <c r="AU60" s="36">
        <v>0</v>
      </c>
      <c r="AV60" s="36">
        <f>L60</f>
        <v>33.27225</v>
      </c>
    </row>
    <row r="61" spans="4:6" ht="12.75">
      <c r="D61" s="17" t="s">
        <v>570</v>
      </c>
      <c r="F61" s="21">
        <v>44.9625</v>
      </c>
    </row>
    <row r="62" spans="3:13" ht="12.75">
      <c r="C62" s="14" t="s">
        <v>255</v>
      </c>
      <c r="D62" s="91" t="s">
        <v>571</v>
      </c>
      <c r="E62" s="92"/>
      <c r="F62" s="92"/>
      <c r="G62" s="92"/>
      <c r="H62" s="92"/>
      <c r="I62" s="92"/>
      <c r="J62" s="92"/>
      <c r="K62" s="92"/>
      <c r="L62" s="92"/>
      <c r="M62" s="92"/>
    </row>
    <row r="63" spans="1:48" ht="12.75">
      <c r="A63" s="4" t="s">
        <v>27</v>
      </c>
      <c r="B63" s="4"/>
      <c r="C63" s="4" t="s">
        <v>275</v>
      </c>
      <c r="D63" s="4" t="s">
        <v>572</v>
      </c>
      <c r="E63" s="4" t="s">
        <v>1016</v>
      </c>
      <c r="F63" s="20">
        <v>32.8125</v>
      </c>
      <c r="G63" s="20">
        <v>0</v>
      </c>
      <c r="H63" s="20">
        <f>F63*AE63</f>
        <v>0</v>
      </c>
      <c r="I63" s="20">
        <f>J63-H63</f>
        <v>0</v>
      </c>
      <c r="J63" s="20">
        <f>F63*G63</f>
        <v>0</v>
      </c>
      <c r="K63" s="20">
        <v>0.52</v>
      </c>
      <c r="L63" s="20">
        <f>F63*K63</f>
        <v>17.0625</v>
      </c>
      <c r="M63" s="32" t="s">
        <v>1040</v>
      </c>
      <c r="P63" s="36">
        <f>IF(AG63="5",J63,0)</f>
        <v>0</v>
      </c>
      <c r="R63" s="36">
        <f>IF(AG63="1",H63,0)</f>
        <v>0</v>
      </c>
      <c r="S63" s="36">
        <f>IF(AG63="1",I63,0)</f>
        <v>0</v>
      </c>
      <c r="T63" s="36">
        <f>IF(AG63="7",H63,0)</f>
        <v>0</v>
      </c>
      <c r="U63" s="36">
        <f>IF(AG63="7",I63,0)</f>
        <v>0</v>
      </c>
      <c r="V63" s="36">
        <f>IF(AG63="2",H63,0)</f>
        <v>0</v>
      </c>
      <c r="W63" s="36">
        <f>IF(AG63="2",I63,0)</f>
        <v>0</v>
      </c>
      <c r="X63" s="36">
        <f>IF(AG63="0",J63,0)</f>
        <v>0</v>
      </c>
      <c r="Y63" s="29"/>
      <c r="Z63" s="20">
        <f>IF(AD63=0,J63,0)</f>
        <v>0</v>
      </c>
      <c r="AA63" s="20">
        <f>IF(AD63=15,J63,0)</f>
        <v>0</v>
      </c>
      <c r="AB63" s="20">
        <f>IF(AD63=21,J63,0)</f>
        <v>0</v>
      </c>
      <c r="AD63" s="36">
        <v>21</v>
      </c>
      <c r="AE63" s="36">
        <f>G63*0.656645367412141</f>
        <v>0</v>
      </c>
      <c r="AF63" s="36">
        <f>G63*(1-0.656645367412141)</f>
        <v>0</v>
      </c>
      <c r="AG63" s="32" t="s">
        <v>7</v>
      </c>
      <c r="AM63" s="36">
        <f>F63*AE63</f>
        <v>0</v>
      </c>
      <c r="AN63" s="36">
        <f>F63*AF63</f>
        <v>0</v>
      </c>
      <c r="AO63" s="37" t="s">
        <v>1055</v>
      </c>
      <c r="AP63" s="37" t="s">
        <v>1090</v>
      </c>
      <c r="AQ63" s="29" t="s">
        <v>1101</v>
      </c>
      <c r="AS63" s="36">
        <f>AM63+AN63</f>
        <v>0</v>
      </c>
      <c r="AT63" s="36">
        <f>G63/(100-AU63)*100</f>
        <v>0</v>
      </c>
      <c r="AU63" s="36">
        <v>0</v>
      </c>
      <c r="AV63" s="36">
        <f>L63</f>
        <v>17.0625</v>
      </c>
    </row>
    <row r="64" spans="4:6" ht="12.75">
      <c r="D64" s="17" t="s">
        <v>573</v>
      </c>
      <c r="F64" s="21">
        <v>32.8125</v>
      </c>
    </row>
    <row r="65" spans="3:13" ht="12.75">
      <c r="C65" s="14" t="s">
        <v>255</v>
      </c>
      <c r="D65" s="91" t="s">
        <v>571</v>
      </c>
      <c r="E65" s="92"/>
      <c r="F65" s="92"/>
      <c r="G65" s="92"/>
      <c r="H65" s="92"/>
      <c r="I65" s="92"/>
      <c r="J65" s="92"/>
      <c r="K65" s="92"/>
      <c r="L65" s="92"/>
      <c r="M65" s="92"/>
    </row>
    <row r="66" spans="1:48" ht="12.75">
      <c r="A66" s="4" t="s">
        <v>28</v>
      </c>
      <c r="B66" s="4"/>
      <c r="C66" s="4" t="s">
        <v>276</v>
      </c>
      <c r="D66" s="4" t="s">
        <v>574</v>
      </c>
      <c r="E66" s="4" t="s">
        <v>1015</v>
      </c>
      <c r="F66" s="20">
        <v>0.44914</v>
      </c>
      <c r="G66" s="20">
        <v>0</v>
      </c>
      <c r="H66" s="20">
        <f>F66*AE66</f>
        <v>0</v>
      </c>
      <c r="I66" s="20">
        <f>J66-H66</f>
        <v>0</v>
      </c>
      <c r="J66" s="20">
        <f>F66*G66</f>
        <v>0</v>
      </c>
      <c r="K66" s="20">
        <v>1.00349</v>
      </c>
      <c r="L66" s="20">
        <f>F66*K66</f>
        <v>0.4507074986</v>
      </c>
      <c r="M66" s="32" t="s">
        <v>1040</v>
      </c>
      <c r="P66" s="36">
        <f>IF(AG66="5",J66,0)</f>
        <v>0</v>
      </c>
      <c r="R66" s="36">
        <f>IF(AG66="1",H66,0)</f>
        <v>0</v>
      </c>
      <c r="S66" s="36">
        <f>IF(AG66="1",I66,0)</f>
        <v>0</v>
      </c>
      <c r="T66" s="36">
        <f>IF(AG66="7",H66,0)</f>
        <v>0</v>
      </c>
      <c r="U66" s="36">
        <f>IF(AG66="7",I66,0)</f>
        <v>0</v>
      </c>
      <c r="V66" s="36">
        <f>IF(AG66="2",H66,0)</f>
        <v>0</v>
      </c>
      <c r="W66" s="36">
        <f>IF(AG66="2",I66,0)</f>
        <v>0</v>
      </c>
      <c r="X66" s="36">
        <f>IF(AG66="0",J66,0)</f>
        <v>0</v>
      </c>
      <c r="Y66" s="29"/>
      <c r="Z66" s="20">
        <f>IF(AD66=0,J66,0)</f>
        <v>0</v>
      </c>
      <c r="AA66" s="20">
        <f>IF(AD66=15,J66,0)</f>
        <v>0</v>
      </c>
      <c r="AB66" s="20">
        <f>IF(AD66=21,J66,0)</f>
        <v>0</v>
      </c>
      <c r="AD66" s="36">
        <v>21</v>
      </c>
      <c r="AE66" s="36">
        <f>G66*0.540656427503363</f>
        <v>0</v>
      </c>
      <c r="AF66" s="36">
        <f>G66*(1-0.540656427503363)</f>
        <v>0</v>
      </c>
      <c r="AG66" s="32" t="s">
        <v>7</v>
      </c>
      <c r="AM66" s="36">
        <f>F66*AE66</f>
        <v>0</v>
      </c>
      <c r="AN66" s="36">
        <f>F66*AF66</f>
        <v>0</v>
      </c>
      <c r="AO66" s="37" t="s">
        <v>1055</v>
      </c>
      <c r="AP66" s="37" t="s">
        <v>1090</v>
      </c>
      <c r="AQ66" s="29" t="s">
        <v>1101</v>
      </c>
      <c r="AS66" s="36">
        <f>AM66+AN66</f>
        <v>0</v>
      </c>
      <c r="AT66" s="36">
        <f>G66/(100-AU66)*100</f>
        <v>0</v>
      </c>
      <c r="AU66" s="36">
        <v>0</v>
      </c>
      <c r="AV66" s="36">
        <f>L66</f>
        <v>0.4507074986</v>
      </c>
    </row>
    <row r="67" spans="4:6" ht="12.75">
      <c r="D67" s="17" t="s">
        <v>575</v>
      </c>
      <c r="F67" s="21">
        <v>0.20583</v>
      </c>
    </row>
    <row r="68" spans="4:6" ht="12.75">
      <c r="D68" s="17" t="s">
        <v>576</v>
      </c>
      <c r="F68" s="21">
        <v>0.24331</v>
      </c>
    </row>
    <row r="69" spans="1:37" ht="12.75">
      <c r="A69" s="5"/>
      <c r="B69" s="13"/>
      <c r="C69" s="13" t="s">
        <v>37</v>
      </c>
      <c r="D69" s="93" t="s">
        <v>577</v>
      </c>
      <c r="E69" s="94"/>
      <c r="F69" s="94"/>
      <c r="G69" s="94"/>
      <c r="H69" s="39">
        <f>SUM(H70:H88)</f>
        <v>0</v>
      </c>
      <c r="I69" s="39">
        <f>SUM(I70:I88)</f>
        <v>0</v>
      </c>
      <c r="J69" s="39">
        <f>H69+I69</f>
        <v>0</v>
      </c>
      <c r="K69" s="29"/>
      <c r="L69" s="39">
        <f>SUM(L70:L88)</f>
        <v>51.339499825000004</v>
      </c>
      <c r="M69" s="29"/>
      <c r="Y69" s="29"/>
      <c r="AI69" s="39">
        <f>SUM(Z70:Z88)</f>
        <v>0</v>
      </c>
      <c r="AJ69" s="39">
        <f>SUM(AA70:AA88)</f>
        <v>0</v>
      </c>
      <c r="AK69" s="39">
        <f>SUM(AB70:AB88)</f>
        <v>0</v>
      </c>
    </row>
    <row r="70" spans="1:48" ht="12.75">
      <c r="A70" s="4" t="s">
        <v>29</v>
      </c>
      <c r="B70" s="4"/>
      <c r="C70" s="4" t="s">
        <v>277</v>
      </c>
      <c r="D70" s="4" t="s">
        <v>578</v>
      </c>
      <c r="E70" s="4" t="s">
        <v>1016</v>
      </c>
      <c r="F70" s="20">
        <v>103.8375</v>
      </c>
      <c r="G70" s="20">
        <v>0</v>
      </c>
      <c r="H70" s="20">
        <f>F70*AE70</f>
        <v>0</v>
      </c>
      <c r="I70" s="20">
        <f>J70-H70</f>
        <v>0</v>
      </c>
      <c r="J70" s="20">
        <f>F70*G70</f>
        <v>0</v>
      </c>
      <c r="K70" s="20">
        <v>0.37679</v>
      </c>
      <c r="L70" s="20">
        <f>F70*K70</f>
        <v>39.124931625</v>
      </c>
      <c r="M70" s="32" t="s">
        <v>1040</v>
      </c>
      <c r="P70" s="36">
        <f>IF(AG70="5",J70,0)</f>
        <v>0</v>
      </c>
      <c r="R70" s="36">
        <f>IF(AG70="1",H70,0)</f>
        <v>0</v>
      </c>
      <c r="S70" s="36">
        <f>IF(AG70="1",I70,0)</f>
        <v>0</v>
      </c>
      <c r="T70" s="36">
        <f>IF(AG70="7",H70,0)</f>
        <v>0</v>
      </c>
      <c r="U70" s="36">
        <f>IF(AG70="7",I70,0)</f>
        <v>0</v>
      </c>
      <c r="V70" s="36">
        <f>IF(AG70="2",H70,0)</f>
        <v>0</v>
      </c>
      <c r="W70" s="36">
        <f>IF(AG70="2",I70,0)</f>
        <v>0</v>
      </c>
      <c r="X70" s="36">
        <f>IF(AG70="0",J70,0)</f>
        <v>0</v>
      </c>
      <c r="Y70" s="29"/>
      <c r="Z70" s="20">
        <f>IF(AD70=0,J70,0)</f>
        <v>0</v>
      </c>
      <c r="AA70" s="20">
        <f>IF(AD70=15,J70,0)</f>
        <v>0</v>
      </c>
      <c r="AB70" s="20">
        <f>IF(AD70=21,J70,0)</f>
        <v>0</v>
      </c>
      <c r="AD70" s="36">
        <v>21</v>
      </c>
      <c r="AE70" s="36">
        <f>G70*0.696914033798678</f>
        <v>0</v>
      </c>
      <c r="AF70" s="36">
        <f>G70*(1-0.696914033798678)</f>
        <v>0</v>
      </c>
      <c r="AG70" s="32" t="s">
        <v>7</v>
      </c>
      <c r="AM70" s="36">
        <f>F70*AE70</f>
        <v>0</v>
      </c>
      <c r="AN70" s="36">
        <f>F70*AF70</f>
        <v>0</v>
      </c>
      <c r="AO70" s="37" t="s">
        <v>1056</v>
      </c>
      <c r="AP70" s="37" t="s">
        <v>1091</v>
      </c>
      <c r="AQ70" s="29" t="s">
        <v>1101</v>
      </c>
      <c r="AS70" s="36">
        <f>AM70+AN70</f>
        <v>0</v>
      </c>
      <c r="AT70" s="36">
        <f>G70/(100-AU70)*100</f>
        <v>0</v>
      </c>
      <c r="AU70" s="36">
        <v>0</v>
      </c>
      <c r="AV70" s="36">
        <f>L70</f>
        <v>39.124931625</v>
      </c>
    </row>
    <row r="71" spans="4:6" ht="12.75">
      <c r="D71" s="17" t="s">
        <v>579</v>
      </c>
      <c r="F71" s="21">
        <v>108.025</v>
      </c>
    </row>
    <row r="72" spans="4:6" ht="12.75">
      <c r="D72" s="17" t="s">
        <v>580</v>
      </c>
      <c r="F72" s="21">
        <v>-4.1875</v>
      </c>
    </row>
    <row r="73" spans="1:48" ht="12.75">
      <c r="A73" s="4" t="s">
        <v>30</v>
      </c>
      <c r="B73" s="4"/>
      <c r="C73" s="4" t="s">
        <v>278</v>
      </c>
      <c r="D73" s="4" t="s">
        <v>581</v>
      </c>
      <c r="E73" s="4" t="s">
        <v>1016</v>
      </c>
      <c r="F73" s="20">
        <v>103.8375</v>
      </c>
      <c r="G73" s="20">
        <v>0</v>
      </c>
      <c r="H73" s="20">
        <f>F73*AE73</f>
        <v>0</v>
      </c>
      <c r="I73" s="20">
        <f>J73-H73</f>
        <v>0</v>
      </c>
      <c r="J73" s="20">
        <f>F73*G73</f>
        <v>0</v>
      </c>
      <c r="K73" s="20">
        <v>-0.04406</v>
      </c>
      <c r="L73" s="20">
        <f>F73*K73</f>
        <v>-4.57508025</v>
      </c>
      <c r="M73" s="32" t="s">
        <v>1040</v>
      </c>
      <c r="P73" s="36">
        <f>IF(AG73="5",J73,0)</f>
        <v>0</v>
      </c>
      <c r="R73" s="36">
        <f>IF(AG73="1",H73,0)</f>
        <v>0</v>
      </c>
      <c r="S73" s="36">
        <f>IF(AG73="1",I73,0)</f>
        <v>0</v>
      </c>
      <c r="T73" s="36">
        <f>IF(AG73="7",H73,0)</f>
        <v>0</v>
      </c>
      <c r="U73" s="36">
        <f>IF(AG73="7",I73,0)</f>
        <v>0</v>
      </c>
      <c r="V73" s="36">
        <f>IF(AG73="2",H73,0)</f>
        <v>0</v>
      </c>
      <c r="W73" s="36">
        <f>IF(AG73="2",I73,0)</f>
        <v>0</v>
      </c>
      <c r="X73" s="36">
        <f>IF(AG73="0",J73,0)</f>
        <v>0</v>
      </c>
      <c r="Y73" s="29"/>
      <c r="Z73" s="20">
        <f>IF(AD73=0,J73,0)</f>
        <v>0</v>
      </c>
      <c r="AA73" s="20">
        <f>IF(AD73=15,J73,0)</f>
        <v>0</v>
      </c>
      <c r="AB73" s="20">
        <f>IF(AD73=21,J73,0)</f>
        <v>0</v>
      </c>
      <c r="AD73" s="36">
        <v>21</v>
      </c>
      <c r="AE73" s="36">
        <f>G73*1</f>
        <v>0</v>
      </c>
      <c r="AF73" s="36">
        <f>G73*(1-1)</f>
        <v>0</v>
      </c>
      <c r="AG73" s="32" t="s">
        <v>7</v>
      </c>
      <c r="AM73" s="36">
        <f>F73*AE73</f>
        <v>0</v>
      </c>
      <c r="AN73" s="36">
        <f>F73*AF73</f>
        <v>0</v>
      </c>
      <c r="AO73" s="37" t="s">
        <v>1056</v>
      </c>
      <c r="AP73" s="37" t="s">
        <v>1091</v>
      </c>
      <c r="AQ73" s="29" t="s">
        <v>1101</v>
      </c>
      <c r="AS73" s="36">
        <f>AM73+AN73</f>
        <v>0</v>
      </c>
      <c r="AT73" s="36">
        <f>G73/(100-AU73)*100</f>
        <v>0</v>
      </c>
      <c r="AU73" s="36">
        <v>0</v>
      </c>
      <c r="AV73" s="36">
        <f>L73</f>
        <v>-4.57508025</v>
      </c>
    </row>
    <row r="74" spans="1:48" ht="12.75">
      <c r="A74" s="4" t="s">
        <v>31</v>
      </c>
      <c r="B74" s="4"/>
      <c r="C74" s="4" t="s">
        <v>279</v>
      </c>
      <c r="D74" s="4" t="s">
        <v>582</v>
      </c>
      <c r="E74" s="4" t="s">
        <v>1016</v>
      </c>
      <c r="F74" s="20">
        <v>2.8125</v>
      </c>
      <c r="G74" s="20">
        <v>0</v>
      </c>
      <c r="H74" s="20">
        <f>F74*AE74</f>
        <v>0</v>
      </c>
      <c r="I74" s="20">
        <f>J74-H74</f>
        <v>0</v>
      </c>
      <c r="J74" s="20">
        <f>F74*G74</f>
        <v>0</v>
      </c>
      <c r="K74" s="20">
        <v>0.12714</v>
      </c>
      <c r="L74" s="20">
        <f>F74*K74</f>
        <v>0.35758125</v>
      </c>
      <c r="M74" s="32" t="s">
        <v>1040</v>
      </c>
      <c r="P74" s="36">
        <f>IF(AG74="5",J74,0)</f>
        <v>0</v>
      </c>
      <c r="R74" s="36">
        <f>IF(AG74="1",H74,0)</f>
        <v>0</v>
      </c>
      <c r="S74" s="36">
        <f>IF(AG74="1",I74,0)</f>
        <v>0</v>
      </c>
      <c r="T74" s="36">
        <f>IF(AG74="7",H74,0)</f>
        <v>0</v>
      </c>
      <c r="U74" s="36">
        <f>IF(AG74="7",I74,0)</f>
        <v>0</v>
      </c>
      <c r="V74" s="36">
        <f>IF(AG74="2",H74,0)</f>
        <v>0</v>
      </c>
      <c r="W74" s="36">
        <f>IF(AG74="2",I74,0)</f>
        <v>0</v>
      </c>
      <c r="X74" s="36">
        <f>IF(AG74="0",J74,0)</f>
        <v>0</v>
      </c>
      <c r="Y74" s="29"/>
      <c r="Z74" s="20">
        <f>IF(AD74=0,J74,0)</f>
        <v>0</v>
      </c>
      <c r="AA74" s="20">
        <f>IF(AD74=15,J74,0)</f>
        <v>0</v>
      </c>
      <c r="AB74" s="20">
        <f>IF(AD74=21,J74,0)</f>
        <v>0</v>
      </c>
      <c r="AD74" s="36">
        <v>21</v>
      </c>
      <c r="AE74" s="36">
        <f>G74*0.743135779659241</f>
        <v>0</v>
      </c>
      <c r="AF74" s="36">
        <f>G74*(1-0.743135779659241)</f>
        <v>0</v>
      </c>
      <c r="AG74" s="32" t="s">
        <v>7</v>
      </c>
      <c r="AM74" s="36">
        <f>F74*AE74</f>
        <v>0</v>
      </c>
      <c r="AN74" s="36">
        <f>F74*AF74</f>
        <v>0</v>
      </c>
      <c r="AO74" s="37" t="s">
        <v>1056</v>
      </c>
      <c r="AP74" s="37" t="s">
        <v>1091</v>
      </c>
      <c r="AQ74" s="29" t="s">
        <v>1101</v>
      </c>
      <c r="AS74" s="36">
        <f>AM74+AN74</f>
        <v>0</v>
      </c>
      <c r="AT74" s="36">
        <f>G74/(100-AU74)*100</f>
        <v>0</v>
      </c>
      <c r="AU74" s="36">
        <v>0</v>
      </c>
      <c r="AV74" s="36">
        <f>L74</f>
        <v>0.35758125</v>
      </c>
    </row>
    <row r="75" spans="4:6" ht="12.75">
      <c r="D75" s="17" t="s">
        <v>583</v>
      </c>
      <c r="F75" s="21">
        <v>2.8125</v>
      </c>
    </row>
    <row r="76" spans="1:48" ht="12.75">
      <c r="A76" s="4" t="s">
        <v>32</v>
      </c>
      <c r="B76" s="4"/>
      <c r="C76" s="4" t="s">
        <v>280</v>
      </c>
      <c r="D76" s="4" t="s">
        <v>584</v>
      </c>
      <c r="E76" s="4" t="s">
        <v>1016</v>
      </c>
      <c r="F76" s="20">
        <v>22.70625</v>
      </c>
      <c r="G76" s="20">
        <v>0</v>
      </c>
      <c r="H76" s="20">
        <f>F76*AE76</f>
        <v>0</v>
      </c>
      <c r="I76" s="20">
        <f>J76-H76</f>
        <v>0</v>
      </c>
      <c r="J76" s="20">
        <f>F76*G76</f>
        <v>0</v>
      </c>
      <c r="K76" s="20">
        <v>0.24951</v>
      </c>
      <c r="L76" s="20">
        <f>F76*K76</f>
        <v>5.6654364375</v>
      </c>
      <c r="M76" s="32" t="s">
        <v>1040</v>
      </c>
      <c r="P76" s="36">
        <f>IF(AG76="5",J76,0)</f>
        <v>0</v>
      </c>
      <c r="R76" s="36">
        <f>IF(AG76="1",H76,0)</f>
        <v>0</v>
      </c>
      <c r="S76" s="36">
        <f>IF(AG76="1",I76,0)</f>
        <v>0</v>
      </c>
      <c r="T76" s="36">
        <f>IF(AG76="7",H76,0)</f>
        <v>0</v>
      </c>
      <c r="U76" s="36">
        <f>IF(AG76="7",I76,0)</f>
        <v>0</v>
      </c>
      <c r="V76" s="36">
        <f>IF(AG76="2",H76,0)</f>
        <v>0</v>
      </c>
      <c r="W76" s="36">
        <f>IF(AG76="2",I76,0)</f>
        <v>0</v>
      </c>
      <c r="X76" s="36">
        <f>IF(AG76="0",J76,0)</f>
        <v>0</v>
      </c>
      <c r="Y76" s="29"/>
      <c r="Z76" s="20">
        <f>IF(AD76=0,J76,0)</f>
        <v>0</v>
      </c>
      <c r="AA76" s="20">
        <f>IF(AD76=15,J76,0)</f>
        <v>0</v>
      </c>
      <c r="AB76" s="20">
        <f>IF(AD76=21,J76,0)</f>
        <v>0</v>
      </c>
      <c r="AD76" s="36">
        <v>21</v>
      </c>
      <c r="AE76" s="36">
        <f>G76*0.683562097852547</f>
        <v>0</v>
      </c>
      <c r="AF76" s="36">
        <f>G76*(1-0.683562097852547)</f>
        <v>0</v>
      </c>
      <c r="AG76" s="32" t="s">
        <v>7</v>
      </c>
      <c r="AM76" s="36">
        <f>F76*AE76</f>
        <v>0</v>
      </c>
      <c r="AN76" s="36">
        <f>F76*AF76</f>
        <v>0</v>
      </c>
      <c r="AO76" s="37" t="s">
        <v>1056</v>
      </c>
      <c r="AP76" s="37" t="s">
        <v>1091</v>
      </c>
      <c r="AQ76" s="29" t="s">
        <v>1101</v>
      </c>
      <c r="AS76" s="36">
        <f>AM76+AN76</f>
        <v>0</v>
      </c>
      <c r="AT76" s="36">
        <f>G76/(100-AU76)*100</f>
        <v>0</v>
      </c>
      <c r="AU76" s="36">
        <v>0</v>
      </c>
      <c r="AV76" s="36">
        <f>L76</f>
        <v>5.6654364375</v>
      </c>
    </row>
    <row r="77" spans="4:6" ht="12.75">
      <c r="D77" s="17" t="s">
        <v>585</v>
      </c>
      <c r="F77" s="21">
        <v>22.70625</v>
      </c>
    </row>
    <row r="78" spans="1:48" ht="12.75">
      <c r="A78" s="4" t="s">
        <v>33</v>
      </c>
      <c r="B78" s="4"/>
      <c r="C78" s="4" t="s">
        <v>281</v>
      </c>
      <c r="D78" s="4" t="s">
        <v>586</v>
      </c>
      <c r="E78" s="4" t="s">
        <v>1018</v>
      </c>
      <c r="F78" s="20">
        <v>13</v>
      </c>
      <c r="G78" s="20">
        <v>0</v>
      </c>
      <c r="H78" s="20">
        <f aca="true" t="shared" si="0" ref="H78:H83">F78*AE78</f>
        <v>0</v>
      </c>
      <c r="I78" s="20">
        <f aca="true" t="shared" si="1" ref="I78:I83">J78-H78</f>
        <v>0</v>
      </c>
      <c r="J78" s="20">
        <f aca="true" t="shared" si="2" ref="J78:J83">F78*G78</f>
        <v>0</v>
      </c>
      <c r="K78" s="20">
        <v>0.03637</v>
      </c>
      <c r="L78" s="20">
        <f aca="true" t="shared" si="3" ref="L78:L83">F78*K78</f>
        <v>0.47281</v>
      </c>
      <c r="M78" s="32" t="s">
        <v>1040</v>
      </c>
      <c r="P78" s="36">
        <f aca="true" t="shared" si="4" ref="P78:P83">IF(AG78="5",J78,0)</f>
        <v>0</v>
      </c>
      <c r="R78" s="36">
        <f aca="true" t="shared" si="5" ref="R78:R83">IF(AG78="1",H78,0)</f>
        <v>0</v>
      </c>
      <c r="S78" s="36">
        <f aca="true" t="shared" si="6" ref="S78:S83">IF(AG78="1",I78,0)</f>
        <v>0</v>
      </c>
      <c r="T78" s="36">
        <f aca="true" t="shared" si="7" ref="T78:T83">IF(AG78="7",H78,0)</f>
        <v>0</v>
      </c>
      <c r="U78" s="36">
        <f aca="true" t="shared" si="8" ref="U78:U83">IF(AG78="7",I78,0)</f>
        <v>0</v>
      </c>
      <c r="V78" s="36">
        <f aca="true" t="shared" si="9" ref="V78:V83">IF(AG78="2",H78,0)</f>
        <v>0</v>
      </c>
      <c r="W78" s="36">
        <f aca="true" t="shared" si="10" ref="W78:W83">IF(AG78="2",I78,0)</f>
        <v>0</v>
      </c>
      <c r="X78" s="36">
        <f aca="true" t="shared" si="11" ref="X78:X83">IF(AG78="0",J78,0)</f>
        <v>0</v>
      </c>
      <c r="Y78" s="29"/>
      <c r="Z78" s="20">
        <f aca="true" t="shared" si="12" ref="Z78:Z83">IF(AD78=0,J78,0)</f>
        <v>0</v>
      </c>
      <c r="AA78" s="20">
        <f aca="true" t="shared" si="13" ref="AA78:AA83">IF(AD78=15,J78,0)</f>
        <v>0</v>
      </c>
      <c r="AB78" s="20">
        <f aca="true" t="shared" si="14" ref="AB78:AB83">IF(AD78=21,J78,0)</f>
        <v>0</v>
      </c>
      <c r="AD78" s="36">
        <v>21</v>
      </c>
      <c r="AE78" s="36">
        <f>G78*0.695173674588665</f>
        <v>0</v>
      </c>
      <c r="AF78" s="36">
        <f>G78*(1-0.695173674588665)</f>
        <v>0</v>
      </c>
      <c r="AG78" s="32" t="s">
        <v>7</v>
      </c>
      <c r="AM78" s="36">
        <f aca="true" t="shared" si="15" ref="AM78:AM83">F78*AE78</f>
        <v>0</v>
      </c>
      <c r="AN78" s="36">
        <f aca="true" t="shared" si="16" ref="AN78:AN83">F78*AF78</f>
        <v>0</v>
      </c>
      <c r="AO78" s="37" t="s">
        <v>1056</v>
      </c>
      <c r="AP78" s="37" t="s">
        <v>1091</v>
      </c>
      <c r="AQ78" s="29" t="s">
        <v>1101</v>
      </c>
      <c r="AS78" s="36">
        <f aca="true" t="shared" si="17" ref="AS78:AS83">AM78+AN78</f>
        <v>0</v>
      </c>
      <c r="AT78" s="36">
        <f aca="true" t="shared" si="18" ref="AT78:AT83">G78/(100-AU78)*100</f>
        <v>0</v>
      </c>
      <c r="AU78" s="36">
        <v>0</v>
      </c>
      <c r="AV78" s="36">
        <f aca="true" t="shared" si="19" ref="AV78:AV83">L78</f>
        <v>0.47281</v>
      </c>
    </row>
    <row r="79" spans="1:48" ht="12.75">
      <c r="A79" s="4" t="s">
        <v>34</v>
      </c>
      <c r="B79" s="4"/>
      <c r="C79" s="4" t="s">
        <v>282</v>
      </c>
      <c r="D79" s="4" t="s">
        <v>587</v>
      </c>
      <c r="E79" s="4" t="s">
        <v>1018</v>
      </c>
      <c r="F79" s="20">
        <v>4</v>
      </c>
      <c r="G79" s="20">
        <v>0</v>
      </c>
      <c r="H79" s="20">
        <f t="shared" si="0"/>
        <v>0</v>
      </c>
      <c r="I79" s="20">
        <f t="shared" si="1"/>
        <v>0</v>
      </c>
      <c r="J79" s="20">
        <f t="shared" si="2"/>
        <v>0</v>
      </c>
      <c r="K79" s="20">
        <v>0.04529</v>
      </c>
      <c r="L79" s="20">
        <f t="shared" si="3"/>
        <v>0.18116</v>
      </c>
      <c r="M79" s="32" t="s">
        <v>1040</v>
      </c>
      <c r="P79" s="36">
        <f t="shared" si="4"/>
        <v>0</v>
      </c>
      <c r="R79" s="36">
        <f t="shared" si="5"/>
        <v>0</v>
      </c>
      <c r="S79" s="36">
        <f t="shared" si="6"/>
        <v>0</v>
      </c>
      <c r="T79" s="36">
        <f t="shared" si="7"/>
        <v>0</v>
      </c>
      <c r="U79" s="36">
        <f t="shared" si="8"/>
        <v>0</v>
      </c>
      <c r="V79" s="36">
        <f t="shared" si="9"/>
        <v>0</v>
      </c>
      <c r="W79" s="36">
        <f t="shared" si="10"/>
        <v>0</v>
      </c>
      <c r="X79" s="36">
        <f t="shared" si="11"/>
        <v>0</v>
      </c>
      <c r="Y79" s="29"/>
      <c r="Z79" s="20">
        <f t="shared" si="12"/>
        <v>0</v>
      </c>
      <c r="AA79" s="20">
        <f t="shared" si="13"/>
        <v>0</v>
      </c>
      <c r="AB79" s="20">
        <f t="shared" si="14"/>
        <v>0</v>
      </c>
      <c r="AD79" s="36">
        <v>21</v>
      </c>
      <c r="AE79" s="36">
        <f>G79*0.746607669616519</f>
        <v>0</v>
      </c>
      <c r="AF79" s="36">
        <f>G79*(1-0.746607669616519)</f>
        <v>0</v>
      </c>
      <c r="AG79" s="32" t="s">
        <v>7</v>
      </c>
      <c r="AM79" s="36">
        <f t="shared" si="15"/>
        <v>0</v>
      </c>
      <c r="AN79" s="36">
        <f t="shared" si="16"/>
        <v>0</v>
      </c>
      <c r="AO79" s="37" t="s">
        <v>1056</v>
      </c>
      <c r="AP79" s="37" t="s">
        <v>1091</v>
      </c>
      <c r="AQ79" s="29" t="s">
        <v>1101</v>
      </c>
      <c r="AS79" s="36">
        <f t="shared" si="17"/>
        <v>0</v>
      </c>
      <c r="AT79" s="36">
        <f t="shared" si="18"/>
        <v>0</v>
      </c>
      <c r="AU79" s="36">
        <v>0</v>
      </c>
      <c r="AV79" s="36">
        <f t="shared" si="19"/>
        <v>0.18116</v>
      </c>
    </row>
    <row r="80" spans="1:48" ht="12.75">
      <c r="A80" s="4" t="s">
        <v>35</v>
      </c>
      <c r="B80" s="4"/>
      <c r="C80" s="4" t="s">
        <v>283</v>
      </c>
      <c r="D80" s="4" t="s">
        <v>588</v>
      </c>
      <c r="E80" s="4" t="s">
        <v>1018</v>
      </c>
      <c r="F80" s="20">
        <v>4</v>
      </c>
      <c r="G80" s="20">
        <v>0</v>
      </c>
      <c r="H80" s="20">
        <f t="shared" si="0"/>
        <v>0</v>
      </c>
      <c r="I80" s="20">
        <f t="shared" si="1"/>
        <v>0</v>
      </c>
      <c r="J80" s="20">
        <f t="shared" si="2"/>
        <v>0</v>
      </c>
      <c r="K80" s="20">
        <v>0.05422</v>
      </c>
      <c r="L80" s="20">
        <f t="shared" si="3"/>
        <v>0.21688</v>
      </c>
      <c r="M80" s="32" t="s">
        <v>1040</v>
      </c>
      <c r="P80" s="36">
        <f t="shared" si="4"/>
        <v>0</v>
      </c>
      <c r="R80" s="36">
        <f t="shared" si="5"/>
        <v>0</v>
      </c>
      <c r="S80" s="36">
        <f t="shared" si="6"/>
        <v>0</v>
      </c>
      <c r="T80" s="36">
        <f t="shared" si="7"/>
        <v>0</v>
      </c>
      <c r="U80" s="36">
        <f t="shared" si="8"/>
        <v>0</v>
      </c>
      <c r="V80" s="36">
        <f t="shared" si="9"/>
        <v>0</v>
      </c>
      <c r="W80" s="36">
        <f t="shared" si="10"/>
        <v>0</v>
      </c>
      <c r="X80" s="36">
        <f t="shared" si="11"/>
        <v>0</v>
      </c>
      <c r="Y80" s="29"/>
      <c r="Z80" s="20">
        <f t="shared" si="12"/>
        <v>0</v>
      </c>
      <c r="AA80" s="20">
        <f t="shared" si="13"/>
        <v>0</v>
      </c>
      <c r="AB80" s="20">
        <f t="shared" si="14"/>
        <v>0</v>
      </c>
      <c r="AD80" s="36">
        <v>21</v>
      </c>
      <c r="AE80" s="36">
        <f>G80*0.774119390022734</f>
        <v>0</v>
      </c>
      <c r="AF80" s="36">
        <f>G80*(1-0.774119390022734)</f>
        <v>0</v>
      </c>
      <c r="AG80" s="32" t="s">
        <v>7</v>
      </c>
      <c r="AM80" s="36">
        <f t="shared" si="15"/>
        <v>0</v>
      </c>
      <c r="AN80" s="36">
        <f t="shared" si="16"/>
        <v>0</v>
      </c>
      <c r="AO80" s="37" t="s">
        <v>1056</v>
      </c>
      <c r="AP80" s="37" t="s">
        <v>1091</v>
      </c>
      <c r="AQ80" s="29" t="s">
        <v>1101</v>
      </c>
      <c r="AS80" s="36">
        <f t="shared" si="17"/>
        <v>0</v>
      </c>
      <c r="AT80" s="36">
        <f t="shared" si="18"/>
        <v>0</v>
      </c>
      <c r="AU80" s="36">
        <v>0</v>
      </c>
      <c r="AV80" s="36">
        <f t="shared" si="19"/>
        <v>0.21688</v>
      </c>
    </row>
    <row r="81" spans="1:48" ht="12.75">
      <c r="A81" s="4" t="s">
        <v>36</v>
      </c>
      <c r="B81" s="4"/>
      <c r="C81" s="4" t="s">
        <v>284</v>
      </c>
      <c r="D81" s="4" t="s">
        <v>589</v>
      </c>
      <c r="E81" s="4" t="s">
        <v>1018</v>
      </c>
      <c r="F81" s="20">
        <v>32</v>
      </c>
      <c r="G81" s="20">
        <v>0</v>
      </c>
      <c r="H81" s="20">
        <f t="shared" si="0"/>
        <v>0</v>
      </c>
      <c r="I81" s="20">
        <f t="shared" si="1"/>
        <v>0</v>
      </c>
      <c r="J81" s="20">
        <f t="shared" si="2"/>
        <v>0</v>
      </c>
      <c r="K81" s="20">
        <v>0.06314</v>
      </c>
      <c r="L81" s="20">
        <f t="shared" si="3"/>
        <v>2.02048</v>
      </c>
      <c r="M81" s="32" t="s">
        <v>1040</v>
      </c>
      <c r="P81" s="36">
        <f t="shared" si="4"/>
        <v>0</v>
      </c>
      <c r="R81" s="36">
        <f t="shared" si="5"/>
        <v>0</v>
      </c>
      <c r="S81" s="36">
        <f t="shared" si="6"/>
        <v>0</v>
      </c>
      <c r="T81" s="36">
        <f t="shared" si="7"/>
        <v>0</v>
      </c>
      <c r="U81" s="36">
        <f t="shared" si="8"/>
        <v>0</v>
      </c>
      <c r="V81" s="36">
        <f t="shared" si="9"/>
        <v>0</v>
      </c>
      <c r="W81" s="36">
        <f t="shared" si="10"/>
        <v>0</v>
      </c>
      <c r="X81" s="36">
        <f t="shared" si="11"/>
        <v>0</v>
      </c>
      <c r="Y81" s="29"/>
      <c r="Z81" s="20">
        <f t="shared" si="12"/>
        <v>0</v>
      </c>
      <c r="AA81" s="20">
        <f t="shared" si="13"/>
        <v>0</v>
      </c>
      <c r="AB81" s="20">
        <f t="shared" si="14"/>
        <v>0</v>
      </c>
      <c r="AD81" s="36">
        <v>21</v>
      </c>
      <c r="AE81" s="36">
        <f>G81*0.809549738219895</f>
        <v>0</v>
      </c>
      <c r="AF81" s="36">
        <f>G81*(1-0.809549738219895)</f>
        <v>0</v>
      </c>
      <c r="AG81" s="32" t="s">
        <v>7</v>
      </c>
      <c r="AM81" s="36">
        <f t="shared" si="15"/>
        <v>0</v>
      </c>
      <c r="AN81" s="36">
        <f t="shared" si="16"/>
        <v>0</v>
      </c>
      <c r="AO81" s="37" t="s">
        <v>1056</v>
      </c>
      <c r="AP81" s="37" t="s">
        <v>1091</v>
      </c>
      <c r="AQ81" s="29" t="s">
        <v>1101</v>
      </c>
      <c r="AS81" s="36">
        <f t="shared" si="17"/>
        <v>0</v>
      </c>
      <c r="AT81" s="36">
        <f t="shared" si="18"/>
        <v>0</v>
      </c>
      <c r="AU81" s="36">
        <v>0</v>
      </c>
      <c r="AV81" s="36">
        <f t="shared" si="19"/>
        <v>2.02048</v>
      </c>
    </row>
    <row r="82" spans="1:48" ht="12.75">
      <c r="A82" s="4" t="s">
        <v>37</v>
      </c>
      <c r="B82" s="4"/>
      <c r="C82" s="4" t="s">
        <v>285</v>
      </c>
      <c r="D82" s="4" t="s">
        <v>590</v>
      </c>
      <c r="E82" s="4" t="s">
        <v>1018</v>
      </c>
      <c r="F82" s="20">
        <v>8</v>
      </c>
      <c r="G82" s="20">
        <v>0</v>
      </c>
      <c r="H82" s="20">
        <f t="shared" si="0"/>
        <v>0</v>
      </c>
      <c r="I82" s="20">
        <f t="shared" si="1"/>
        <v>0</v>
      </c>
      <c r="J82" s="20">
        <f t="shared" si="2"/>
        <v>0</v>
      </c>
      <c r="K82" s="20">
        <v>0.02288</v>
      </c>
      <c r="L82" s="20">
        <f t="shared" si="3"/>
        <v>0.18304</v>
      </c>
      <c r="M82" s="32" t="s">
        <v>1040</v>
      </c>
      <c r="P82" s="36">
        <f t="shared" si="4"/>
        <v>0</v>
      </c>
      <c r="R82" s="36">
        <f t="shared" si="5"/>
        <v>0</v>
      </c>
      <c r="S82" s="36">
        <f t="shared" si="6"/>
        <v>0</v>
      </c>
      <c r="T82" s="36">
        <f t="shared" si="7"/>
        <v>0</v>
      </c>
      <c r="U82" s="36">
        <f t="shared" si="8"/>
        <v>0</v>
      </c>
      <c r="V82" s="36">
        <f t="shared" si="9"/>
        <v>0</v>
      </c>
      <c r="W82" s="36">
        <f t="shared" si="10"/>
        <v>0</v>
      </c>
      <c r="X82" s="36">
        <f t="shared" si="11"/>
        <v>0</v>
      </c>
      <c r="Y82" s="29"/>
      <c r="Z82" s="20">
        <f t="shared" si="12"/>
        <v>0</v>
      </c>
      <c r="AA82" s="20">
        <f t="shared" si="13"/>
        <v>0</v>
      </c>
      <c r="AB82" s="20">
        <f t="shared" si="14"/>
        <v>0</v>
      </c>
      <c r="AD82" s="36">
        <v>21</v>
      </c>
      <c r="AE82" s="36">
        <f>G82*0.584990476190476</f>
        <v>0</v>
      </c>
      <c r="AF82" s="36">
        <f>G82*(1-0.584990476190476)</f>
        <v>0</v>
      </c>
      <c r="AG82" s="32" t="s">
        <v>7</v>
      </c>
      <c r="AM82" s="36">
        <f t="shared" si="15"/>
        <v>0</v>
      </c>
      <c r="AN82" s="36">
        <f t="shared" si="16"/>
        <v>0</v>
      </c>
      <c r="AO82" s="37" t="s">
        <v>1056</v>
      </c>
      <c r="AP82" s="37" t="s">
        <v>1091</v>
      </c>
      <c r="AQ82" s="29" t="s">
        <v>1101</v>
      </c>
      <c r="AS82" s="36">
        <f t="shared" si="17"/>
        <v>0</v>
      </c>
      <c r="AT82" s="36">
        <f t="shared" si="18"/>
        <v>0</v>
      </c>
      <c r="AU82" s="36">
        <v>0</v>
      </c>
      <c r="AV82" s="36">
        <f t="shared" si="19"/>
        <v>0.18304</v>
      </c>
    </row>
    <row r="83" spans="1:48" ht="12.75">
      <c r="A83" s="4" t="s">
        <v>38</v>
      </c>
      <c r="B83" s="4"/>
      <c r="C83" s="4" t="s">
        <v>286</v>
      </c>
      <c r="D83" s="4" t="s">
        <v>591</v>
      </c>
      <c r="E83" s="4" t="s">
        <v>1016</v>
      </c>
      <c r="F83" s="20">
        <v>9.89375</v>
      </c>
      <c r="G83" s="20">
        <v>0</v>
      </c>
      <c r="H83" s="20">
        <f t="shared" si="0"/>
        <v>0</v>
      </c>
      <c r="I83" s="20">
        <f t="shared" si="1"/>
        <v>0</v>
      </c>
      <c r="J83" s="20">
        <f t="shared" si="2"/>
        <v>0</v>
      </c>
      <c r="K83" s="20">
        <v>0.30251</v>
      </c>
      <c r="L83" s="20">
        <f t="shared" si="3"/>
        <v>2.9929583125000003</v>
      </c>
      <c r="M83" s="32" t="s">
        <v>1040</v>
      </c>
      <c r="P83" s="36">
        <f t="shared" si="4"/>
        <v>0</v>
      </c>
      <c r="R83" s="36">
        <f t="shared" si="5"/>
        <v>0</v>
      </c>
      <c r="S83" s="36">
        <f t="shared" si="6"/>
        <v>0</v>
      </c>
      <c r="T83" s="36">
        <f t="shared" si="7"/>
        <v>0</v>
      </c>
      <c r="U83" s="36">
        <f t="shared" si="8"/>
        <v>0</v>
      </c>
      <c r="V83" s="36">
        <f t="shared" si="9"/>
        <v>0</v>
      </c>
      <c r="W83" s="36">
        <f t="shared" si="10"/>
        <v>0</v>
      </c>
      <c r="X83" s="36">
        <f t="shared" si="11"/>
        <v>0</v>
      </c>
      <c r="Y83" s="29"/>
      <c r="Z83" s="20">
        <f t="shared" si="12"/>
        <v>0</v>
      </c>
      <c r="AA83" s="20">
        <f t="shared" si="13"/>
        <v>0</v>
      </c>
      <c r="AB83" s="20">
        <f t="shared" si="14"/>
        <v>0</v>
      </c>
      <c r="AD83" s="36">
        <v>21</v>
      </c>
      <c r="AE83" s="36">
        <f>G83*0.702154481948038</f>
        <v>0</v>
      </c>
      <c r="AF83" s="36">
        <f>G83*(1-0.702154481948038)</f>
        <v>0</v>
      </c>
      <c r="AG83" s="32" t="s">
        <v>7</v>
      </c>
      <c r="AM83" s="36">
        <f t="shared" si="15"/>
        <v>0</v>
      </c>
      <c r="AN83" s="36">
        <f t="shared" si="16"/>
        <v>0</v>
      </c>
      <c r="AO83" s="37" t="s">
        <v>1056</v>
      </c>
      <c r="AP83" s="37" t="s">
        <v>1091</v>
      </c>
      <c r="AQ83" s="29" t="s">
        <v>1101</v>
      </c>
      <c r="AS83" s="36">
        <f t="shared" si="17"/>
        <v>0</v>
      </c>
      <c r="AT83" s="36">
        <f t="shared" si="18"/>
        <v>0</v>
      </c>
      <c r="AU83" s="36">
        <v>0</v>
      </c>
      <c r="AV83" s="36">
        <f t="shared" si="19"/>
        <v>2.9929583125000003</v>
      </c>
    </row>
    <row r="84" spans="4:6" ht="12.75">
      <c r="D84" s="17" t="s">
        <v>592</v>
      </c>
      <c r="F84" s="21">
        <v>9.89375</v>
      </c>
    </row>
    <row r="85" spans="3:13" ht="12.75">
      <c r="C85" s="14" t="s">
        <v>255</v>
      </c>
      <c r="D85" s="91" t="s">
        <v>593</v>
      </c>
      <c r="E85" s="92"/>
      <c r="F85" s="92"/>
      <c r="G85" s="92"/>
      <c r="H85" s="92"/>
      <c r="I85" s="92"/>
      <c r="J85" s="92"/>
      <c r="K85" s="92"/>
      <c r="L85" s="92"/>
      <c r="M85" s="92"/>
    </row>
    <row r="86" spans="1:48" ht="12.75">
      <c r="A86" s="4" t="s">
        <v>39</v>
      </c>
      <c r="B86" s="4"/>
      <c r="C86" s="4" t="s">
        <v>287</v>
      </c>
      <c r="D86" s="4" t="s">
        <v>594</v>
      </c>
      <c r="E86" s="4" t="s">
        <v>1019</v>
      </c>
      <c r="F86" s="20">
        <v>16.75</v>
      </c>
      <c r="G86" s="20">
        <v>0</v>
      </c>
      <c r="H86" s="20">
        <f>F86*AE86</f>
        <v>0</v>
      </c>
      <c r="I86" s="20">
        <f>J86-H86</f>
        <v>0</v>
      </c>
      <c r="J86" s="20">
        <f>F86*G86</f>
        <v>0</v>
      </c>
      <c r="K86" s="20">
        <v>0.00055</v>
      </c>
      <c r="L86" s="20">
        <f>F86*K86</f>
        <v>0.0092125</v>
      </c>
      <c r="M86" s="32" t="s">
        <v>1040</v>
      </c>
      <c r="P86" s="36">
        <f>IF(AG86="5",J86,0)</f>
        <v>0</v>
      </c>
      <c r="R86" s="36">
        <f>IF(AG86="1",H86,0)</f>
        <v>0</v>
      </c>
      <c r="S86" s="36">
        <f>IF(AG86="1",I86,0)</f>
        <v>0</v>
      </c>
      <c r="T86" s="36">
        <f>IF(AG86="7",H86,0)</f>
        <v>0</v>
      </c>
      <c r="U86" s="36">
        <f>IF(AG86="7",I86,0)</f>
        <v>0</v>
      </c>
      <c r="V86" s="36">
        <f>IF(AG86="2",H86,0)</f>
        <v>0</v>
      </c>
      <c r="W86" s="36">
        <f>IF(AG86="2",I86,0)</f>
        <v>0</v>
      </c>
      <c r="X86" s="36">
        <f>IF(AG86="0",J86,0)</f>
        <v>0</v>
      </c>
      <c r="Y86" s="29"/>
      <c r="Z86" s="20">
        <f>IF(AD86=0,J86,0)</f>
        <v>0</v>
      </c>
      <c r="AA86" s="20">
        <f>IF(AD86=15,J86,0)</f>
        <v>0</v>
      </c>
      <c r="AB86" s="20">
        <f>IF(AD86=21,J86,0)</f>
        <v>0</v>
      </c>
      <c r="AD86" s="36">
        <v>21</v>
      </c>
      <c r="AE86" s="36">
        <f>G86*0.455490654205607</f>
        <v>0</v>
      </c>
      <c r="AF86" s="36">
        <f>G86*(1-0.455490654205607)</f>
        <v>0</v>
      </c>
      <c r="AG86" s="32" t="s">
        <v>7</v>
      </c>
      <c r="AM86" s="36">
        <f>F86*AE86</f>
        <v>0</v>
      </c>
      <c r="AN86" s="36">
        <f>F86*AF86</f>
        <v>0</v>
      </c>
      <c r="AO86" s="37" t="s">
        <v>1056</v>
      </c>
      <c r="AP86" s="37" t="s">
        <v>1091</v>
      </c>
      <c r="AQ86" s="29" t="s">
        <v>1101</v>
      </c>
      <c r="AS86" s="36">
        <f>AM86+AN86</f>
        <v>0</v>
      </c>
      <c r="AT86" s="36">
        <f>G86/(100-AU86)*100</f>
        <v>0</v>
      </c>
      <c r="AU86" s="36">
        <v>0</v>
      </c>
      <c r="AV86" s="36">
        <f>L86</f>
        <v>0.0092125</v>
      </c>
    </row>
    <row r="87" spans="4:6" ht="12.75">
      <c r="D87" s="17" t="s">
        <v>595</v>
      </c>
      <c r="F87" s="21">
        <v>16.75</v>
      </c>
    </row>
    <row r="88" spans="1:48" ht="12.75">
      <c r="A88" s="126" t="s">
        <v>40</v>
      </c>
      <c r="B88" s="126"/>
      <c r="C88" s="126" t="s">
        <v>288</v>
      </c>
      <c r="D88" s="126" t="s">
        <v>596</v>
      </c>
      <c r="E88" s="126" t="s">
        <v>1016</v>
      </c>
      <c r="F88" s="127">
        <v>26.845</v>
      </c>
      <c r="G88" s="127">
        <v>0</v>
      </c>
      <c r="H88" s="127">
        <f>F88*AE88</f>
        <v>0</v>
      </c>
      <c r="I88" s="127">
        <f>J88-H88</f>
        <v>0</v>
      </c>
      <c r="J88" s="127">
        <f>F88*G88</f>
        <v>0</v>
      </c>
      <c r="K88" s="127">
        <v>0.17471</v>
      </c>
      <c r="L88" s="127">
        <f>F88*K88</f>
        <v>4.69008995</v>
      </c>
      <c r="M88" s="128" t="s">
        <v>1040</v>
      </c>
      <c r="P88" s="36">
        <f>IF(AG88="5",J88,0)</f>
        <v>0</v>
      </c>
      <c r="R88" s="36">
        <f>IF(AG88="1",H88,0)</f>
        <v>0</v>
      </c>
      <c r="S88" s="36">
        <f>IF(AG88="1",I88,0)</f>
        <v>0</v>
      </c>
      <c r="T88" s="36">
        <f>IF(AG88="7",H88,0)</f>
        <v>0</v>
      </c>
      <c r="U88" s="36">
        <f>IF(AG88="7",I88,0)</f>
        <v>0</v>
      </c>
      <c r="V88" s="36">
        <f>IF(AG88="2",H88,0)</f>
        <v>0</v>
      </c>
      <c r="W88" s="36">
        <f>IF(AG88="2",I88,0)</f>
        <v>0</v>
      </c>
      <c r="X88" s="36">
        <f>IF(AG88="0",J88,0)</f>
        <v>0</v>
      </c>
      <c r="Y88" s="29"/>
      <c r="Z88" s="20">
        <f>IF(AD88=0,J88,0)</f>
        <v>0</v>
      </c>
      <c r="AA88" s="20">
        <f>IF(AD88=15,J88,0)</f>
        <v>0</v>
      </c>
      <c r="AB88" s="20">
        <f>IF(AD88=21,J88,0)</f>
        <v>0</v>
      </c>
      <c r="AD88" s="36">
        <v>21</v>
      </c>
      <c r="AE88" s="36">
        <f>G88*0.671078431372549</f>
        <v>0</v>
      </c>
      <c r="AF88" s="36">
        <f>G88*(1-0.671078431372549)</f>
        <v>0</v>
      </c>
      <c r="AG88" s="32" t="s">
        <v>7</v>
      </c>
      <c r="AM88" s="36">
        <f>F88*AE88</f>
        <v>0</v>
      </c>
      <c r="AN88" s="36">
        <f>F88*AF88</f>
        <v>0</v>
      </c>
      <c r="AO88" s="37" t="s">
        <v>1056</v>
      </c>
      <c r="AP88" s="37" t="s">
        <v>1091</v>
      </c>
      <c r="AQ88" s="29" t="s">
        <v>1101</v>
      </c>
      <c r="AS88" s="36">
        <f>AM88+AN88</f>
        <v>0</v>
      </c>
      <c r="AT88" s="36">
        <f>G88/(100-AU88)*100</f>
        <v>0</v>
      </c>
      <c r="AU88" s="36">
        <v>0</v>
      </c>
      <c r="AV88" s="36">
        <f>L88</f>
        <v>4.69008995</v>
      </c>
    </row>
    <row r="89" spans="1:13" ht="12.75">
      <c r="A89" s="129"/>
      <c r="B89" s="129"/>
      <c r="C89" s="129"/>
      <c r="D89" s="130" t="s">
        <v>597</v>
      </c>
      <c r="E89" s="129"/>
      <c r="F89" s="131">
        <v>26.845</v>
      </c>
      <c r="G89" s="129"/>
      <c r="H89" s="129"/>
      <c r="I89" s="129"/>
      <c r="J89" s="129"/>
      <c r="K89" s="129"/>
      <c r="L89" s="129"/>
      <c r="M89" s="129"/>
    </row>
    <row r="90" spans="1:37" ht="12.75">
      <c r="A90" s="5"/>
      <c r="B90" s="13"/>
      <c r="C90" s="13" t="s">
        <v>39</v>
      </c>
      <c r="D90" s="93" t="s">
        <v>598</v>
      </c>
      <c r="E90" s="94"/>
      <c r="F90" s="94"/>
      <c r="G90" s="94"/>
      <c r="H90" s="39">
        <f>SUM(H91:H93)</f>
        <v>0</v>
      </c>
      <c r="I90" s="39">
        <f>SUM(I91:I93)</f>
        <v>0</v>
      </c>
      <c r="J90" s="39">
        <f>H90+I90</f>
        <v>0</v>
      </c>
      <c r="K90" s="29"/>
      <c r="L90" s="39">
        <f>SUM(L91:L93)</f>
        <v>5.22126132</v>
      </c>
      <c r="M90" s="29"/>
      <c r="Y90" s="29"/>
      <c r="AI90" s="39">
        <f>SUM(Z91:Z93)</f>
        <v>0</v>
      </c>
      <c r="AJ90" s="39">
        <f>SUM(AA91:AA93)</f>
        <v>0</v>
      </c>
      <c r="AK90" s="39">
        <f>SUM(AB91:AB93)</f>
        <v>0</v>
      </c>
    </row>
    <row r="91" spans="1:48" ht="12.75">
      <c r="A91" s="4" t="s">
        <v>41</v>
      </c>
      <c r="B91" s="4"/>
      <c r="C91" s="4" t="s">
        <v>289</v>
      </c>
      <c r="D91" s="4" t="s">
        <v>599</v>
      </c>
      <c r="E91" s="4" t="s">
        <v>1019</v>
      </c>
      <c r="F91" s="20">
        <v>17.25</v>
      </c>
      <c r="G91" s="20">
        <v>0</v>
      </c>
      <c r="H91" s="20">
        <f>F91*AE91</f>
        <v>0</v>
      </c>
      <c r="I91" s="20">
        <f>J91-H91</f>
        <v>0</v>
      </c>
      <c r="J91" s="20">
        <f>F91*G91</f>
        <v>0</v>
      </c>
      <c r="K91" s="20">
        <v>0.1925</v>
      </c>
      <c r="L91" s="20">
        <f>F91*K91</f>
        <v>3.320625</v>
      </c>
      <c r="M91" s="32" t="s">
        <v>1040</v>
      </c>
      <c r="P91" s="36">
        <f>IF(AG91="5",J91,0)</f>
        <v>0</v>
      </c>
      <c r="R91" s="36">
        <f>IF(AG91="1",H91,0)</f>
        <v>0</v>
      </c>
      <c r="S91" s="36">
        <f>IF(AG91="1",I91,0)</f>
        <v>0</v>
      </c>
      <c r="T91" s="36">
        <f>IF(AG91="7",H91,0)</f>
        <v>0</v>
      </c>
      <c r="U91" s="36">
        <f>IF(AG91="7",I91,0)</f>
        <v>0</v>
      </c>
      <c r="V91" s="36">
        <f>IF(AG91="2",H91,0)</f>
        <v>0</v>
      </c>
      <c r="W91" s="36">
        <f>IF(AG91="2",I91,0)</f>
        <v>0</v>
      </c>
      <c r="X91" s="36">
        <f>IF(AG91="0",J91,0)</f>
        <v>0</v>
      </c>
      <c r="Y91" s="29"/>
      <c r="Z91" s="20">
        <f>IF(AD91=0,J91,0)</f>
        <v>0</v>
      </c>
      <c r="AA91" s="20">
        <f>IF(AD91=15,J91,0)</f>
        <v>0</v>
      </c>
      <c r="AB91" s="20">
        <f>IF(AD91=21,J91,0)</f>
        <v>0</v>
      </c>
      <c r="AD91" s="36">
        <v>21</v>
      </c>
      <c r="AE91" s="36">
        <f>G91*0.24972972972973</f>
        <v>0</v>
      </c>
      <c r="AF91" s="36">
        <f>G91*(1-0.24972972972973)</f>
        <v>0</v>
      </c>
      <c r="AG91" s="32" t="s">
        <v>7</v>
      </c>
      <c r="AM91" s="36">
        <f>F91*AE91</f>
        <v>0</v>
      </c>
      <c r="AN91" s="36">
        <f>F91*AF91</f>
        <v>0</v>
      </c>
      <c r="AO91" s="37" t="s">
        <v>1057</v>
      </c>
      <c r="AP91" s="37" t="s">
        <v>1091</v>
      </c>
      <c r="AQ91" s="29" t="s">
        <v>1101</v>
      </c>
      <c r="AS91" s="36">
        <f>AM91+AN91</f>
        <v>0</v>
      </c>
      <c r="AT91" s="36">
        <f>G91/(100-AU91)*100</f>
        <v>0</v>
      </c>
      <c r="AU91" s="36">
        <v>0</v>
      </c>
      <c r="AV91" s="36">
        <f>L91</f>
        <v>3.320625</v>
      </c>
    </row>
    <row r="92" spans="4:6" ht="12.75">
      <c r="D92" s="17" t="s">
        <v>600</v>
      </c>
      <c r="F92" s="21">
        <v>17.25</v>
      </c>
    </row>
    <row r="93" spans="1:48" ht="12.75">
      <c r="A93" s="6" t="s">
        <v>42</v>
      </c>
      <c r="B93" s="6"/>
      <c r="C93" s="6" t="s">
        <v>290</v>
      </c>
      <c r="D93" s="6" t="s">
        <v>601</v>
      </c>
      <c r="E93" s="6" t="s">
        <v>1018</v>
      </c>
      <c r="F93" s="22">
        <v>158.38636</v>
      </c>
      <c r="G93" s="22">
        <v>0</v>
      </c>
      <c r="H93" s="22">
        <f>F93*AE93</f>
        <v>0</v>
      </c>
      <c r="I93" s="22">
        <f>J93-H93</f>
        <v>0</v>
      </c>
      <c r="J93" s="22">
        <f>F93*G93</f>
        <v>0</v>
      </c>
      <c r="K93" s="22">
        <v>0.012</v>
      </c>
      <c r="L93" s="22">
        <f>F93*K93</f>
        <v>1.90063632</v>
      </c>
      <c r="M93" s="33" t="s">
        <v>1040</v>
      </c>
      <c r="P93" s="36">
        <f>IF(AG93="5",J93,0)</f>
        <v>0</v>
      </c>
      <c r="R93" s="36">
        <f>IF(AG93="1",H93,0)</f>
        <v>0</v>
      </c>
      <c r="S93" s="36">
        <f>IF(AG93="1",I93,0)</f>
        <v>0</v>
      </c>
      <c r="T93" s="36">
        <f>IF(AG93="7",H93,0)</f>
        <v>0</v>
      </c>
      <c r="U93" s="36">
        <f>IF(AG93="7",I93,0)</f>
        <v>0</v>
      </c>
      <c r="V93" s="36">
        <f>IF(AG93="2",H93,0)</f>
        <v>0</v>
      </c>
      <c r="W93" s="36">
        <f>IF(AG93="2",I93,0)</f>
        <v>0</v>
      </c>
      <c r="X93" s="36">
        <f>IF(AG93="0",J93,0)</f>
        <v>0</v>
      </c>
      <c r="Y93" s="29"/>
      <c r="Z93" s="22">
        <f>IF(AD93=0,J93,0)</f>
        <v>0</v>
      </c>
      <c r="AA93" s="22">
        <f>IF(AD93=15,J93,0)</f>
        <v>0</v>
      </c>
      <c r="AB93" s="22">
        <f>IF(AD93=21,J93,0)</f>
        <v>0</v>
      </c>
      <c r="AD93" s="36">
        <v>21</v>
      </c>
      <c r="AE93" s="36">
        <f>G93*1</f>
        <v>0</v>
      </c>
      <c r="AF93" s="36">
        <f>G93*(1-1)</f>
        <v>0</v>
      </c>
      <c r="AG93" s="33" t="s">
        <v>7</v>
      </c>
      <c r="AM93" s="36">
        <f>F93*AE93</f>
        <v>0</v>
      </c>
      <c r="AN93" s="36">
        <f>F93*AF93</f>
        <v>0</v>
      </c>
      <c r="AO93" s="37" t="s">
        <v>1057</v>
      </c>
      <c r="AP93" s="37" t="s">
        <v>1091</v>
      </c>
      <c r="AQ93" s="29" t="s">
        <v>1101</v>
      </c>
      <c r="AS93" s="36">
        <f>AM93+AN93</f>
        <v>0</v>
      </c>
      <c r="AT93" s="36">
        <f>G93/(100-AU93)*100</f>
        <v>0</v>
      </c>
      <c r="AU93" s="36">
        <v>0</v>
      </c>
      <c r="AV93" s="36">
        <f>L93</f>
        <v>1.90063632</v>
      </c>
    </row>
    <row r="94" spans="4:6" ht="12.75">
      <c r="D94" s="17" t="s">
        <v>602</v>
      </c>
      <c r="F94" s="21">
        <v>156.81818</v>
      </c>
    </row>
    <row r="95" spans="4:6" ht="12.75">
      <c r="D95" s="17" t="s">
        <v>603</v>
      </c>
      <c r="F95" s="21">
        <v>1.56818</v>
      </c>
    </row>
    <row r="96" spans="1:37" ht="12.75">
      <c r="A96" s="5"/>
      <c r="B96" s="13"/>
      <c r="C96" s="13" t="s">
        <v>40</v>
      </c>
      <c r="D96" s="93" t="s">
        <v>604</v>
      </c>
      <c r="E96" s="94"/>
      <c r="F96" s="94"/>
      <c r="G96" s="94"/>
      <c r="H96" s="39">
        <f>SUM(H97:H103)</f>
        <v>0</v>
      </c>
      <c r="I96" s="39">
        <f>SUM(I97:I103)</f>
        <v>0</v>
      </c>
      <c r="J96" s="39">
        <f>H96+I96</f>
        <v>0</v>
      </c>
      <c r="K96" s="29"/>
      <c r="L96" s="39">
        <f>SUM(L97:L103)</f>
        <v>24.932672</v>
      </c>
      <c r="M96" s="29"/>
      <c r="Y96" s="29"/>
      <c r="AI96" s="39">
        <f>SUM(Z97:Z103)</f>
        <v>0</v>
      </c>
      <c r="AJ96" s="39">
        <f>SUM(AA97:AA103)</f>
        <v>0</v>
      </c>
      <c r="AK96" s="39">
        <f>SUM(AB97:AB103)</f>
        <v>0</v>
      </c>
    </row>
    <row r="97" spans="1:48" ht="12.75">
      <c r="A97" s="4" t="s">
        <v>43</v>
      </c>
      <c r="B97" s="4"/>
      <c r="C97" s="4" t="s">
        <v>291</v>
      </c>
      <c r="D97" s="4" t="s">
        <v>605</v>
      </c>
      <c r="E97" s="4" t="s">
        <v>1016</v>
      </c>
      <c r="F97" s="20">
        <v>123.2</v>
      </c>
      <c r="G97" s="20">
        <v>0</v>
      </c>
      <c r="H97" s="20">
        <f>F97*AE97</f>
        <v>0</v>
      </c>
      <c r="I97" s="20">
        <f>J97-H97</f>
        <v>0</v>
      </c>
      <c r="J97" s="20">
        <f>F97*G97</f>
        <v>0</v>
      </c>
      <c r="K97" s="20">
        <v>0.14137</v>
      </c>
      <c r="L97" s="20">
        <f>F97*K97</f>
        <v>17.416784</v>
      </c>
      <c r="M97" s="32" t="s">
        <v>1040</v>
      </c>
      <c r="P97" s="36">
        <f>IF(AG97="5",J97,0)</f>
        <v>0</v>
      </c>
      <c r="R97" s="36">
        <f>IF(AG97="1",H97,0)</f>
        <v>0</v>
      </c>
      <c r="S97" s="36">
        <f>IF(AG97="1",I97,0)</f>
        <v>0</v>
      </c>
      <c r="T97" s="36">
        <f>IF(AG97="7",H97,0)</f>
        <v>0</v>
      </c>
      <c r="U97" s="36">
        <f>IF(AG97="7",I97,0)</f>
        <v>0</v>
      </c>
      <c r="V97" s="36">
        <f>IF(AG97="2",H97,0)</f>
        <v>0</v>
      </c>
      <c r="W97" s="36">
        <f>IF(AG97="2",I97,0)</f>
        <v>0</v>
      </c>
      <c r="X97" s="36">
        <f>IF(AG97="0",J97,0)</f>
        <v>0</v>
      </c>
      <c r="Y97" s="29"/>
      <c r="Z97" s="20">
        <f>IF(AD97=0,J97,0)</f>
        <v>0</v>
      </c>
      <c r="AA97" s="20">
        <f>IF(AD97=15,J97,0)</f>
        <v>0</v>
      </c>
      <c r="AB97" s="20">
        <f>IF(AD97=21,J97,0)</f>
        <v>0</v>
      </c>
      <c r="AD97" s="36">
        <v>21</v>
      </c>
      <c r="AE97" s="36">
        <f>G97*0.653798977853492</f>
        <v>0</v>
      </c>
      <c r="AF97" s="36">
        <f>G97*(1-0.653798977853492)</f>
        <v>0</v>
      </c>
      <c r="AG97" s="32" t="s">
        <v>7</v>
      </c>
      <c r="AM97" s="36">
        <f>F97*AE97</f>
        <v>0</v>
      </c>
      <c r="AN97" s="36">
        <f>F97*AF97</f>
        <v>0</v>
      </c>
      <c r="AO97" s="37" t="s">
        <v>1058</v>
      </c>
      <c r="AP97" s="37" t="s">
        <v>1091</v>
      </c>
      <c r="AQ97" s="29" t="s">
        <v>1101</v>
      </c>
      <c r="AS97" s="36">
        <f>AM97+AN97</f>
        <v>0</v>
      </c>
      <c r="AT97" s="36">
        <f>G97/(100-AU97)*100</f>
        <v>0</v>
      </c>
      <c r="AU97" s="36">
        <v>0</v>
      </c>
      <c r="AV97" s="36">
        <f>L97</f>
        <v>17.416784</v>
      </c>
    </row>
    <row r="98" spans="4:6" ht="12.75">
      <c r="D98" s="17" t="s">
        <v>606</v>
      </c>
      <c r="F98" s="21">
        <v>123.2</v>
      </c>
    </row>
    <row r="99" spans="1:48" ht="12.75">
      <c r="A99" s="4" t="s">
        <v>44</v>
      </c>
      <c r="B99" s="4"/>
      <c r="C99" s="4" t="s">
        <v>292</v>
      </c>
      <c r="D99" s="4" t="s">
        <v>607</v>
      </c>
      <c r="E99" s="4" t="s">
        <v>1016</v>
      </c>
      <c r="F99" s="20">
        <v>81.6</v>
      </c>
      <c r="G99" s="20">
        <v>0</v>
      </c>
      <c r="H99" s="20">
        <f>F99*AE99</f>
        <v>0</v>
      </c>
      <c r="I99" s="20">
        <f>J99-H99</f>
        <v>0</v>
      </c>
      <c r="J99" s="20">
        <f>F99*G99</f>
        <v>0</v>
      </c>
      <c r="K99" s="20">
        <v>0.09203</v>
      </c>
      <c r="L99" s="20">
        <f>F99*K99</f>
        <v>7.509647999999999</v>
      </c>
      <c r="M99" s="32" t="s">
        <v>1040</v>
      </c>
      <c r="P99" s="36">
        <f>IF(AG99="5",J99,0)</f>
        <v>0</v>
      </c>
      <c r="R99" s="36">
        <f>IF(AG99="1",H99,0)</f>
        <v>0</v>
      </c>
      <c r="S99" s="36">
        <f>IF(AG99="1",I99,0)</f>
        <v>0</v>
      </c>
      <c r="T99" s="36">
        <f>IF(AG99="7",H99,0)</f>
        <v>0</v>
      </c>
      <c r="U99" s="36">
        <f>IF(AG99="7",I99,0)</f>
        <v>0</v>
      </c>
      <c r="V99" s="36">
        <f>IF(AG99="2",H99,0)</f>
        <v>0</v>
      </c>
      <c r="W99" s="36">
        <f>IF(AG99="2",I99,0)</f>
        <v>0</v>
      </c>
      <c r="X99" s="36">
        <f>IF(AG99="0",J99,0)</f>
        <v>0</v>
      </c>
      <c r="Y99" s="29"/>
      <c r="Z99" s="20">
        <f>IF(AD99=0,J99,0)</f>
        <v>0</v>
      </c>
      <c r="AA99" s="20">
        <f>IF(AD99=15,J99,0)</f>
        <v>0</v>
      </c>
      <c r="AB99" s="20">
        <f>IF(AD99=21,J99,0)</f>
        <v>0</v>
      </c>
      <c r="AD99" s="36">
        <v>21</v>
      </c>
      <c r="AE99" s="36">
        <f>G99*0.594288793103448</f>
        <v>0</v>
      </c>
      <c r="AF99" s="36">
        <f>G99*(1-0.594288793103448)</f>
        <v>0</v>
      </c>
      <c r="AG99" s="32" t="s">
        <v>7</v>
      </c>
      <c r="AM99" s="36">
        <f>F99*AE99</f>
        <v>0</v>
      </c>
      <c r="AN99" s="36">
        <f>F99*AF99</f>
        <v>0</v>
      </c>
      <c r="AO99" s="37" t="s">
        <v>1058</v>
      </c>
      <c r="AP99" s="37" t="s">
        <v>1091</v>
      </c>
      <c r="AQ99" s="29" t="s">
        <v>1101</v>
      </c>
      <c r="AS99" s="36">
        <f>AM99+AN99</f>
        <v>0</v>
      </c>
      <c r="AT99" s="36">
        <f>G99/(100-AU99)*100</f>
        <v>0</v>
      </c>
      <c r="AU99" s="36">
        <v>0</v>
      </c>
      <c r="AV99" s="36">
        <f>L99</f>
        <v>7.509647999999999</v>
      </c>
    </row>
    <row r="100" spans="4:6" ht="12.75">
      <c r="D100" s="17" t="s">
        <v>608</v>
      </c>
      <c r="F100" s="21">
        <v>62.488</v>
      </c>
    </row>
    <row r="101" spans="4:6" ht="12.75">
      <c r="D101" s="17" t="s">
        <v>609</v>
      </c>
      <c r="F101" s="21">
        <v>19.112</v>
      </c>
    </row>
    <row r="102" spans="1:48" ht="12.75">
      <c r="A102" s="4" t="s">
        <v>45</v>
      </c>
      <c r="B102" s="4"/>
      <c r="C102" s="4" t="s">
        <v>293</v>
      </c>
      <c r="D102" s="4" t="s">
        <v>610</v>
      </c>
      <c r="E102" s="4" t="s">
        <v>1018</v>
      </c>
      <c r="F102" s="20">
        <v>1</v>
      </c>
      <c r="G102" s="20">
        <v>0</v>
      </c>
      <c r="H102" s="20">
        <f>F102*AE102</f>
        <v>0</v>
      </c>
      <c r="I102" s="20">
        <f>J102-H102</f>
        <v>0</v>
      </c>
      <c r="J102" s="20">
        <f>F102*G102</f>
        <v>0</v>
      </c>
      <c r="K102" s="20">
        <v>0.00024</v>
      </c>
      <c r="L102" s="20">
        <f>F102*K102</f>
        <v>0.00024</v>
      </c>
      <c r="M102" s="32" t="s">
        <v>1040</v>
      </c>
      <c r="P102" s="36">
        <f>IF(AG102="5",J102,0)</f>
        <v>0</v>
      </c>
      <c r="R102" s="36">
        <f>IF(AG102="1",H102,0)</f>
        <v>0</v>
      </c>
      <c r="S102" s="36">
        <f>IF(AG102="1",I102,0)</f>
        <v>0</v>
      </c>
      <c r="T102" s="36">
        <f>IF(AG102="7",H102,0)</f>
        <v>0</v>
      </c>
      <c r="U102" s="36">
        <f>IF(AG102="7",I102,0)</f>
        <v>0</v>
      </c>
      <c r="V102" s="36">
        <f>IF(AG102="2",H102,0)</f>
        <v>0</v>
      </c>
      <c r="W102" s="36">
        <f>IF(AG102="2",I102,0)</f>
        <v>0</v>
      </c>
      <c r="X102" s="36">
        <f>IF(AG102="0",J102,0)</f>
        <v>0</v>
      </c>
      <c r="Y102" s="29"/>
      <c r="Z102" s="20">
        <f>IF(AD102=0,J102,0)</f>
        <v>0</v>
      </c>
      <c r="AA102" s="20">
        <f>IF(AD102=15,J102,0)</f>
        <v>0</v>
      </c>
      <c r="AB102" s="20">
        <f>IF(AD102=21,J102,0)</f>
        <v>0</v>
      </c>
      <c r="AD102" s="36">
        <v>21</v>
      </c>
      <c r="AE102" s="36">
        <f>G102*0.0128202780168861</f>
        <v>0</v>
      </c>
      <c r="AF102" s="36">
        <f>G102*(1-0.0128202780168861)</f>
        <v>0</v>
      </c>
      <c r="AG102" s="32" t="s">
        <v>7</v>
      </c>
      <c r="AM102" s="36">
        <f>F102*AE102</f>
        <v>0</v>
      </c>
      <c r="AN102" s="36">
        <f>F102*AF102</f>
        <v>0</v>
      </c>
      <c r="AO102" s="37" t="s">
        <v>1058</v>
      </c>
      <c r="AP102" s="37" t="s">
        <v>1091</v>
      </c>
      <c r="AQ102" s="29" t="s">
        <v>1101</v>
      </c>
      <c r="AS102" s="36">
        <f>AM102+AN102</f>
        <v>0</v>
      </c>
      <c r="AT102" s="36">
        <f>G102/(100-AU102)*100</f>
        <v>0</v>
      </c>
      <c r="AU102" s="36">
        <v>0</v>
      </c>
      <c r="AV102" s="36">
        <f>L102</f>
        <v>0.00024</v>
      </c>
    </row>
    <row r="103" spans="1:48" ht="12.75">
      <c r="A103" s="6" t="s">
        <v>46</v>
      </c>
      <c r="B103" s="6"/>
      <c r="C103" s="6" t="s">
        <v>294</v>
      </c>
      <c r="D103" s="6" t="s">
        <v>611</v>
      </c>
      <c r="E103" s="6" t="s">
        <v>1018</v>
      </c>
      <c r="F103" s="22">
        <v>1</v>
      </c>
      <c r="G103" s="22">
        <v>0</v>
      </c>
      <c r="H103" s="22">
        <f>F103*AE103</f>
        <v>0</v>
      </c>
      <c r="I103" s="22">
        <f>J103-H103</f>
        <v>0</v>
      </c>
      <c r="J103" s="22">
        <f>F103*G103</f>
        <v>0</v>
      </c>
      <c r="K103" s="22">
        <v>0.006</v>
      </c>
      <c r="L103" s="22">
        <f>F103*K103</f>
        <v>0.006</v>
      </c>
      <c r="M103" s="33"/>
      <c r="P103" s="36">
        <f>IF(AG103="5",J103,0)</f>
        <v>0</v>
      </c>
      <c r="R103" s="36">
        <f>IF(AG103="1",H103,0)</f>
        <v>0</v>
      </c>
      <c r="S103" s="36">
        <f>IF(AG103="1",I103,0)</f>
        <v>0</v>
      </c>
      <c r="T103" s="36">
        <f>IF(AG103="7",H103,0)</f>
        <v>0</v>
      </c>
      <c r="U103" s="36">
        <f>IF(AG103="7",I103,0)</f>
        <v>0</v>
      </c>
      <c r="V103" s="36">
        <f>IF(AG103="2",H103,0)</f>
        <v>0</v>
      </c>
      <c r="W103" s="36">
        <f>IF(AG103="2",I103,0)</f>
        <v>0</v>
      </c>
      <c r="X103" s="36">
        <f>IF(AG103="0",J103,0)</f>
        <v>0</v>
      </c>
      <c r="Y103" s="29"/>
      <c r="Z103" s="22">
        <f>IF(AD103=0,J103,0)</f>
        <v>0</v>
      </c>
      <c r="AA103" s="22">
        <f>IF(AD103=15,J103,0)</f>
        <v>0</v>
      </c>
      <c r="AB103" s="22">
        <f>IF(AD103=21,J103,0)</f>
        <v>0</v>
      </c>
      <c r="AD103" s="36">
        <v>21</v>
      </c>
      <c r="AE103" s="36">
        <f>G103*1</f>
        <v>0</v>
      </c>
      <c r="AF103" s="36">
        <f>G103*(1-1)</f>
        <v>0</v>
      </c>
      <c r="AG103" s="33" t="s">
        <v>7</v>
      </c>
      <c r="AM103" s="36">
        <f>F103*AE103</f>
        <v>0</v>
      </c>
      <c r="AN103" s="36">
        <f>F103*AF103</f>
        <v>0</v>
      </c>
      <c r="AO103" s="37" t="s">
        <v>1058</v>
      </c>
      <c r="AP103" s="37" t="s">
        <v>1091</v>
      </c>
      <c r="AQ103" s="29" t="s">
        <v>1101</v>
      </c>
      <c r="AS103" s="36">
        <f>AM103+AN103</f>
        <v>0</v>
      </c>
      <c r="AT103" s="36">
        <f>G103/(100-AU103)*100</f>
        <v>0</v>
      </c>
      <c r="AU103" s="36">
        <v>0</v>
      </c>
      <c r="AV103" s="36">
        <f>L103</f>
        <v>0.006</v>
      </c>
    </row>
    <row r="104" spans="1:37" ht="12.75">
      <c r="A104" s="5"/>
      <c r="B104" s="13"/>
      <c r="C104" s="13" t="s">
        <v>47</v>
      </c>
      <c r="D104" s="93" t="s">
        <v>612</v>
      </c>
      <c r="E104" s="94"/>
      <c r="F104" s="94"/>
      <c r="G104" s="94"/>
      <c r="H104" s="39">
        <f>SUM(H105:H118)</f>
        <v>0</v>
      </c>
      <c r="I104" s="39">
        <f>SUM(I105:I118)</f>
        <v>0</v>
      </c>
      <c r="J104" s="39">
        <f>H104+I104</f>
        <v>0</v>
      </c>
      <c r="K104" s="29"/>
      <c r="L104" s="39">
        <f>SUM(L105:L118)</f>
        <v>11.534590106300001</v>
      </c>
      <c r="M104" s="29"/>
      <c r="Y104" s="29"/>
      <c r="AI104" s="39">
        <f>SUM(Z105:Z118)</f>
        <v>0</v>
      </c>
      <c r="AJ104" s="39">
        <f>SUM(AA105:AA118)</f>
        <v>0</v>
      </c>
      <c r="AK104" s="39">
        <f>SUM(AB105:AB118)</f>
        <v>0</v>
      </c>
    </row>
    <row r="105" spans="1:48" ht="12.75">
      <c r="A105" s="4" t="s">
        <v>47</v>
      </c>
      <c r="B105" s="4"/>
      <c r="C105" s="4" t="s">
        <v>295</v>
      </c>
      <c r="D105" s="4" t="s">
        <v>613</v>
      </c>
      <c r="E105" s="4" t="s">
        <v>1016</v>
      </c>
      <c r="F105" s="20">
        <v>74.26</v>
      </c>
      <c r="G105" s="20">
        <v>0</v>
      </c>
      <c r="H105" s="20">
        <f>F105*AE105</f>
        <v>0</v>
      </c>
      <c r="I105" s="20">
        <f>J105-H105</f>
        <v>0</v>
      </c>
      <c r="J105" s="20">
        <f>F105*G105</f>
        <v>0</v>
      </c>
      <c r="K105" s="20">
        <v>0.01186</v>
      </c>
      <c r="L105" s="20">
        <f>F105*K105</f>
        <v>0.8807236000000002</v>
      </c>
      <c r="M105" s="32" t="s">
        <v>1040</v>
      </c>
      <c r="P105" s="36">
        <f>IF(AG105="5",J105,0)</f>
        <v>0</v>
      </c>
      <c r="R105" s="36">
        <f>IF(AG105="1",H105,0)</f>
        <v>0</v>
      </c>
      <c r="S105" s="36">
        <f>IF(AG105="1",I105,0)</f>
        <v>0</v>
      </c>
      <c r="T105" s="36">
        <f>IF(AG105="7",H105,0)</f>
        <v>0</v>
      </c>
      <c r="U105" s="36">
        <f>IF(AG105="7",I105,0)</f>
        <v>0</v>
      </c>
      <c r="V105" s="36">
        <f>IF(AG105="2",H105,0)</f>
        <v>0</v>
      </c>
      <c r="W105" s="36">
        <f>IF(AG105="2",I105,0)</f>
        <v>0</v>
      </c>
      <c r="X105" s="36">
        <f>IF(AG105="0",J105,0)</f>
        <v>0</v>
      </c>
      <c r="Y105" s="29"/>
      <c r="Z105" s="20">
        <f>IF(AD105=0,J105,0)</f>
        <v>0</v>
      </c>
      <c r="AA105" s="20">
        <f>IF(AD105=15,J105,0)</f>
        <v>0</v>
      </c>
      <c r="AB105" s="20">
        <f>IF(AD105=21,J105,0)</f>
        <v>0</v>
      </c>
      <c r="AD105" s="36">
        <v>21</v>
      </c>
      <c r="AE105" s="36">
        <f>G105*0.312744415278299</f>
        <v>0</v>
      </c>
      <c r="AF105" s="36">
        <f>G105*(1-0.312744415278299)</f>
        <v>0</v>
      </c>
      <c r="AG105" s="32" t="s">
        <v>7</v>
      </c>
      <c r="AM105" s="36">
        <f>F105*AE105</f>
        <v>0</v>
      </c>
      <c r="AN105" s="36">
        <f>F105*AF105</f>
        <v>0</v>
      </c>
      <c r="AO105" s="37" t="s">
        <v>1059</v>
      </c>
      <c r="AP105" s="37" t="s">
        <v>1092</v>
      </c>
      <c r="AQ105" s="29" t="s">
        <v>1101</v>
      </c>
      <c r="AS105" s="36">
        <f>AM105+AN105</f>
        <v>0</v>
      </c>
      <c r="AT105" s="36">
        <f>G105/(100-AU105)*100</f>
        <v>0</v>
      </c>
      <c r="AU105" s="36">
        <v>0</v>
      </c>
      <c r="AV105" s="36">
        <f>L105</f>
        <v>0.8807236000000002</v>
      </c>
    </row>
    <row r="106" spans="4:6" ht="12.75">
      <c r="D106" s="17" t="s">
        <v>614</v>
      </c>
      <c r="F106" s="21">
        <v>74.26</v>
      </c>
    </row>
    <row r="107" spans="1:48" ht="12.75">
      <c r="A107" s="4" t="s">
        <v>48</v>
      </c>
      <c r="B107" s="4"/>
      <c r="C107" s="4" t="s">
        <v>296</v>
      </c>
      <c r="D107" s="4" t="s">
        <v>615</v>
      </c>
      <c r="E107" s="4" t="s">
        <v>1016</v>
      </c>
      <c r="F107" s="20">
        <v>50.18</v>
      </c>
      <c r="G107" s="20">
        <v>0</v>
      </c>
      <c r="H107" s="20">
        <f>F107*AE107</f>
        <v>0</v>
      </c>
      <c r="I107" s="20">
        <f>J107-H107</f>
        <v>0</v>
      </c>
      <c r="J107" s="20">
        <f>F107*G107</f>
        <v>0</v>
      </c>
      <c r="K107" s="20">
        <v>0.01197</v>
      </c>
      <c r="L107" s="20">
        <f>F107*K107</f>
        <v>0.6006546</v>
      </c>
      <c r="M107" s="32" t="s">
        <v>1040</v>
      </c>
      <c r="P107" s="36">
        <f>IF(AG107="5",J107,0)</f>
        <v>0</v>
      </c>
      <c r="R107" s="36">
        <f>IF(AG107="1",H107,0)</f>
        <v>0</v>
      </c>
      <c r="S107" s="36">
        <f>IF(AG107="1",I107,0)</f>
        <v>0</v>
      </c>
      <c r="T107" s="36">
        <f>IF(AG107="7",H107,0)</f>
        <v>0</v>
      </c>
      <c r="U107" s="36">
        <f>IF(AG107="7",I107,0)</f>
        <v>0</v>
      </c>
      <c r="V107" s="36">
        <f>IF(AG107="2",H107,0)</f>
        <v>0</v>
      </c>
      <c r="W107" s="36">
        <f>IF(AG107="2",I107,0)</f>
        <v>0</v>
      </c>
      <c r="X107" s="36">
        <f>IF(AG107="0",J107,0)</f>
        <v>0</v>
      </c>
      <c r="Y107" s="29"/>
      <c r="Z107" s="20">
        <f>IF(AD107=0,J107,0)</f>
        <v>0</v>
      </c>
      <c r="AA107" s="20">
        <f>IF(AD107=15,J107,0)</f>
        <v>0</v>
      </c>
      <c r="AB107" s="20">
        <f>IF(AD107=21,J107,0)</f>
        <v>0</v>
      </c>
      <c r="AD107" s="36">
        <v>21</v>
      </c>
      <c r="AE107" s="36">
        <f>G107*0.354255801077163</f>
        <v>0</v>
      </c>
      <c r="AF107" s="36">
        <f>G107*(1-0.354255801077163)</f>
        <v>0</v>
      </c>
      <c r="AG107" s="32" t="s">
        <v>7</v>
      </c>
      <c r="AM107" s="36">
        <f>F107*AE107</f>
        <v>0</v>
      </c>
      <c r="AN107" s="36">
        <f>F107*AF107</f>
        <v>0</v>
      </c>
      <c r="AO107" s="37" t="s">
        <v>1059</v>
      </c>
      <c r="AP107" s="37" t="s">
        <v>1092</v>
      </c>
      <c r="AQ107" s="29" t="s">
        <v>1101</v>
      </c>
      <c r="AS107" s="36">
        <f>AM107+AN107</f>
        <v>0</v>
      </c>
      <c r="AT107" s="36">
        <f>G107/(100-AU107)*100</f>
        <v>0</v>
      </c>
      <c r="AU107" s="36">
        <v>0</v>
      </c>
      <c r="AV107" s="36">
        <f>L107</f>
        <v>0.6006546</v>
      </c>
    </row>
    <row r="108" spans="4:6" ht="12.75">
      <c r="D108" s="17" t="s">
        <v>616</v>
      </c>
      <c r="F108" s="21">
        <v>50.18</v>
      </c>
    </row>
    <row r="109" spans="1:48" ht="12.75">
      <c r="A109" s="4" t="s">
        <v>49</v>
      </c>
      <c r="B109" s="4"/>
      <c r="C109" s="4" t="s">
        <v>297</v>
      </c>
      <c r="D109" s="4" t="s">
        <v>617</v>
      </c>
      <c r="E109" s="4" t="s">
        <v>1019</v>
      </c>
      <c r="F109" s="20">
        <v>49.38</v>
      </c>
      <c r="G109" s="20">
        <v>0</v>
      </c>
      <c r="H109" s="20">
        <f>F109*AE109</f>
        <v>0</v>
      </c>
      <c r="I109" s="20">
        <f>J109-H109</f>
        <v>0</v>
      </c>
      <c r="J109" s="20">
        <f>F109*G109</f>
        <v>0</v>
      </c>
      <c r="K109" s="20">
        <v>0.02233</v>
      </c>
      <c r="L109" s="20">
        <f>F109*K109</f>
        <v>1.1026554</v>
      </c>
      <c r="M109" s="32" t="s">
        <v>1040</v>
      </c>
      <c r="P109" s="36">
        <f>IF(AG109="5",J109,0)</f>
        <v>0</v>
      </c>
      <c r="R109" s="36">
        <f>IF(AG109="1",H109,0)</f>
        <v>0</v>
      </c>
      <c r="S109" s="36">
        <f>IF(AG109="1",I109,0)</f>
        <v>0</v>
      </c>
      <c r="T109" s="36">
        <f>IF(AG109="7",H109,0)</f>
        <v>0</v>
      </c>
      <c r="U109" s="36">
        <f>IF(AG109="7",I109,0)</f>
        <v>0</v>
      </c>
      <c r="V109" s="36">
        <f>IF(AG109="2",H109,0)</f>
        <v>0</v>
      </c>
      <c r="W109" s="36">
        <f>IF(AG109="2",I109,0)</f>
        <v>0</v>
      </c>
      <c r="X109" s="36">
        <f>IF(AG109="0",J109,0)</f>
        <v>0</v>
      </c>
      <c r="Y109" s="29"/>
      <c r="Z109" s="20">
        <f>IF(AD109=0,J109,0)</f>
        <v>0</v>
      </c>
      <c r="AA109" s="20">
        <f>IF(AD109=15,J109,0)</f>
        <v>0</v>
      </c>
      <c r="AB109" s="20">
        <f>IF(AD109=21,J109,0)</f>
        <v>0</v>
      </c>
      <c r="AD109" s="36">
        <v>21</v>
      </c>
      <c r="AE109" s="36">
        <f>G109*0.34847619047619</f>
        <v>0</v>
      </c>
      <c r="AF109" s="36">
        <f>G109*(1-0.34847619047619)</f>
        <v>0</v>
      </c>
      <c r="AG109" s="32" t="s">
        <v>7</v>
      </c>
      <c r="AM109" s="36">
        <f>F109*AE109</f>
        <v>0</v>
      </c>
      <c r="AN109" s="36">
        <f>F109*AF109</f>
        <v>0</v>
      </c>
      <c r="AO109" s="37" t="s">
        <v>1059</v>
      </c>
      <c r="AP109" s="37" t="s">
        <v>1092</v>
      </c>
      <c r="AQ109" s="29" t="s">
        <v>1101</v>
      </c>
      <c r="AS109" s="36">
        <f>AM109+AN109</f>
        <v>0</v>
      </c>
      <c r="AT109" s="36">
        <f>G109/(100-AU109)*100</f>
        <v>0</v>
      </c>
      <c r="AU109" s="36">
        <v>0</v>
      </c>
      <c r="AV109" s="36">
        <f>L109</f>
        <v>1.1026554</v>
      </c>
    </row>
    <row r="110" spans="4:6" ht="12.75">
      <c r="D110" s="17" t="s">
        <v>618</v>
      </c>
      <c r="F110" s="21">
        <v>49.38</v>
      </c>
    </row>
    <row r="111" spans="1:48" ht="12.75">
      <c r="A111" s="4" t="s">
        <v>50</v>
      </c>
      <c r="B111" s="4"/>
      <c r="C111" s="4" t="s">
        <v>298</v>
      </c>
      <c r="D111" s="4" t="s">
        <v>617</v>
      </c>
      <c r="E111" s="4" t="s">
        <v>1019</v>
      </c>
      <c r="F111" s="20">
        <v>49.38</v>
      </c>
      <c r="G111" s="20">
        <v>0</v>
      </c>
      <c r="H111" s="20">
        <f>F111*AE111</f>
        <v>0</v>
      </c>
      <c r="I111" s="20">
        <f>J111-H111</f>
        <v>0</v>
      </c>
      <c r="J111" s="20">
        <f>F111*G111</f>
        <v>0</v>
      </c>
      <c r="K111" s="20">
        <v>0.0189</v>
      </c>
      <c r="L111" s="20">
        <f>F111*K111</f>
        <v>0.9332820000000001</v>
      </c>
      <c r="M111" s="32" t="s">
        <v>1040</v>
      </c>
      <c r="P111" s="36">
        <f>IF(AG111="5",J111,0)</f>
        <v>0</v>
      </c>
      <c r="R111" s="36">
        <f>IF(AG111="1",H111,0)</f>
        <v>0</v>
      </c>
      <c r="S111" s="36">
        <f>IF(AG111="1",I111,0)</f>
        <v>0</v>
      </c>
      <c r="T111" s="36">
        <f>IF(AG111="7",H111,0)</f>
        <v>0</v>
      </c>
      <c r="U111" s="36">
        <f>IF(AG111="7",I111,0)</f>
        <v>0</v>
      </c>
      <c r="V111" s="36">
        <f>IF(AG111="2",H111,0)</f>
        <v>0</v>
      </c>
      <c r="W111" s="36">
        <f>IF(AG111="2",I111,0)</f>
        <v>0</v>
      </c>
      <c r="X111" s="36">
        <f>IF(AG111="0",J111,0)</f>
        <v>0</v>
      </c>
      <c r="Y111" s="29"/>
      <c r="Z111" s="20">
        <f>IF(AD111=0,J111,0)</f>
        <v>0</v>
      </c>
      <c r="AA111" s="20">
        <f>IF(AD111=15,J111,0)</f>
        <v>0</v>
      </c>
      <c r="AB111" s="20">
        <f>IF(AD111=21,J111,0)</f>
        <v>0</v>
      </c>
      <c r="AD111" s="36">
        <v>21</v>
      </c>
      <c r="AE111" s="36">
        <f>G111*0.312539682539683</f>
        <v>0</v>
      </c>
      <c r="AF111" s="36">
        <f>G111*(1-0.312539682539683)</f>
        <v>0</v>
      </c>
      <c r="AG111" s="32" t="s">
        <v>7</v>
      </c>
      <c r="AM111" s="36">
        <f>F111*AE111</f>
        <v>0</v>
      </c>
      <c r="AN111" s="36">
        <f>F111*AF111</f>
        <v>0</v>
      </c>
      <c r="AO111" s="37" t="s">
        <v>1059</v>
      </c>
      <c r="AP111" s="37" t="s">
        <v>1092</v>
      </c>
      <c r="AQ111" s="29" t="s">
        <v>1101</v>
      </c>
      <c r="AS111" s="36">
        <f>AM111+AN111</f>
        <v>0</v>
      </c>
      <c r="AT111" s="36">
        <f>G111/(100-AU111)*100</f>
        <v>0</v>
      </c>
      <c r="AU111" s="36">
        <v>0</v>
      </c>
      <c r="AV111" s="36">
        <f>L111</f>
        <v>0.9332820000000001</v>
      </c>
    </row>
    <row r="112" spans="3:13" ht="12.75">
      <c r="C112" s="14" t="s">
        <v>255</v>
      </c>
      <c r="D112" s="91" t="s">
        <v>619</v>
      </c>
      <c r="E112" s="92"/>
      <c r="F112" s="92"/>
      <c r="G112" s="92"/>
      <c r="H112" s="92"/>
      <c r="I112" s="92"/>
      <c r="J112" s="92"/>
      <c r="K112" s="92"/>
      <c r="L112" s="92"/>
      <c r="M112" s="92"/>
    </row>
    <row r="113" spans="1:48" ht="12.75">
      <c r="A113" s="4" t="s">
        <v>51</v>
      </c>
      <c r="B113" s="4"/>
      <c r="C113" s="4" t="s">
        <v>299</v>
      </c>
      <c r="D113" s="4" t="s">
        <v>620</v>
      </c>
      <c r="E113" s="4" t="s">
        <v>1016</v>
      </c>
      <c r="F113" s="20">
        <v>14.805</v>
      </c>
      <c r="G113" s="20">
        <v>0</v>
      </c>
      <c r="H113" s="20">
        <f>F113*AE113</f>
        <v>0</v>
      </c>
      <c r="I113" s="20">
        <f>J113-H113</f>
        <v>0</v>
      </c>
      <c r="J113" s="20">
        <f>F113*G113</f>
        <v>0</v>
      </c>
      <c r="K113" s="20">
        <v>0.00782</v>
      </c>
      <c r="L113" s="20">
        <f>F113*K113</f>
        <v>0.1157751</v>
      </c>
      <c r="M113" s="32" t="s">
        <v>1040</v>
      </c>
      <c r="P113" s="36">
        <f>IF(AG113="5",J113,0)</f>
        <v>0</v>
      </c>
      <c r="R113" s="36">
        <f>IF(AG113="1",H113,0)</f>
        <v>0</v>
      </c>
      <c r="S113" s="36">
        <f>IF(AG113="1",I113,0)</f>
        <v>0</v>
      </c>
      <c r="T113" s="36">
        <f>IF(AG113="7",H113,0)</f>
        <v>0</v>
      </c>
      <c r="U113" s="36">
        <f>IF(AG113="7",I113,0)</f>
        <v>0</v>
      </c>
      <c r="V113" s="36">
        <f>IF(AG113="2",H113,0)</f>
        <v>0</v>
      </c>
      <c r="W113" s="36">
        <f>IF(AG113="2",I113,0)</f>
        <v>0</v>
      </c>
      <c r="X113" s="36">
        <f>IF(AG113="0",J113,0)</f>
        <v>0</v>
      </c>
      <c r="Y113" s="29"/>
      <c r="Z113" s="20">
        <f>IF(AD113=0,J113,0)</f>
        <v>0</v>
      </c>
      <c r="AA113" s="20">
        <f>IF(AD113=15,J113,0)</f>
        <v>0</v>
      </c>
      <c r="AB113" s="20">
        <f>IF(AD113=21,J113,0)</f>
        <v>0</v>
      </c>
      <c r="AD113" s="36">
        <v>21</v>
      </c>
      <c r="AE113" s="36">
        <f>G113*0.280518292682927</f>
        <v>0</v>
      </c>
      <c r="AF113" s="36">
        <f>G113*(1-0.280518292682927)</f>
        <v>0</v>
      </c>
      <c r="AG113" s="32" t="s">
        <v>7</v>
      </c>
      <c r="AM113" s="36">
        <f>F113*AE113</f>
        <v>0</v>
      </c>
      <c r="AN113" s="36">
        <f>F113*AF113</f>
        <v>0</v>
      </c>
      <c r="AO113" s="37" t="s">
        <v>1059</v>
      </c>
      <c r="AP113" s="37" t="s">
        <v>1092</v>
      </c>
      <c r="AQ113" s="29" t="s">
        <v>1101</v>
      </c>
      <c r="AS113" s="36">
        <f>AM113+AN113</f>
        <v>0</v>
      </c>
      <c r="AT113" s="36">
        <f>G113/(100-AU113)*100</f>
        <v>0</v>
      </c>
      <c r="AU113" s="36">
        <v>0</v>
      </c>
      <c r="AV113" s="36">
        <f>L113</f>
        <v>0.1157751</v>
      </c>
    </row>
    <row r="114" spans="4:6" ht="12.75">
      <c r="D114" s="17" t="s">
        <v>621</v>
      </c>
      <c r="F114" s="21">
        <v>14.805</v>
      </c>
    </row>
    <row r="115" spans="1:48" ht="12.75">
      <c r="A115" s="4" t="s">
        <v>52</v>
      </c>
      <c r="B115" s="4"/>
      <c r="C115" s="4" t="s">
        <v>300</v>
      </c>
      <c r="D115" s="4" t="s">
        <v>622</v>
      </c>
      <c r="E115" s="4" t="s">
        <v>1016</v>
      </c>
      <c r="F115" s="20">
        <v>14.805</v>
      </c>
      <c r="G115" s="20">
        <v>0</v>
      </c>
      <c r="H115" s="20">
        <f>F115*AE115</f>
        <v>0</v>
      </c>
      <c r="I115" s="20">
        <f>J115-H115</f>
        <v>0</v>
      </c>
      <c r="J115" s="20">
        <f>F115*G115</f>
        <v>0</v>
      </c>
      <c r="K115" s="20">
        <v>0</v>
      </c>
      <c r="L115" s="20">
        <f>F115*K115</f>
        <v>0</v>
      </c>
      <c r="M115" s="32" t="s">
        <v>1040</v>
      </c>
      <c r="P115" s="36">
        <f>IF(AG115="5",J115,0)</f>
        <v>0</v>
      </c>
      <c r="R115" s="36">
        <f>IF(AG115="1",H115,0)</f>
        <v>0</v>
      </c>
      <c r="S115" s="36">
        <f>IF(AG115="1",I115,0)</f>
        <v>0</v>
      </c>
      <c r="T115" s="36">
        <f>IF(AG115="7",H115,0)</f>
        <v>0</v>
      </c>
      <c r="U115" s="36">
        <f>IF(AG115="7",I115,0)</f>
        <v>0</v>
      </c>
      <c r="V115" s="36">
        <f>IF(AG115="2",H115,0)</f>
        <v>0</v>
      </c>
      <c r="W115" s="36">
        <f>IF(AG115="2",I115,0)</f>
        <v>0</v>
      </c>
      <c r="X115" s="36">
        <f>IF(AG115="0",J115,0)</f>
        <v>0</v>
      </c>
      <c r="Y115" s="29"/>
      <c r="Z115" s="20">
        <f>IF(AD115=0,J115,0)</f>
        <v>0</v>
      </c>
      <c r="AA115" s="20">
        <f>IF(AD115=15,J115,0)</f>
        <v>0</v>
      </c>
      <c r="AB115" s="20">
        <f>IF(AD115=21,J115,0)</f>
        <v>0</v>
      </c>
      <c r="AD115" s="36">
        <v>21</v>
      </c>
      <c r="AE115" s="36">
        <f>G115*0</f>
        <v>0</v>
      </c>
      <c r="AF115" s="36">
        <f>G115*(1-0)</f>
        <v>0</v>
      </c>
      <c r="AG115" s="32" t="s">
        <v>7</v>
      </c>
      <c r="AM115" s="36">
        <f>F115*AE115</f>
        <v>0</v>
      </c>
      <c r="AN115" s="36">
        <f>F115*AF115</f>
        <v>0</v>
      </c>
      <c r="AO115" s="37" t="s">
        <v>1059</v>
      </c>
      <c r="AP115" s="37" t="s">
        <v>1092</v>
      </c>
      <c r="AQ115" s="29" t="s">
        <v>1101</v>
      </c>
      <c r="AS115" s="36">
        <f>AM115+AN115</f>
        <v>0</v>
      </c>
      <c r="AT115" s="36">
        <f>G115/(100-AU115)*100</f>
        <v>0</v>
      </c>
      <c r="AU115" s="36">
        <v>0</v>
      </c>
      <c r="AV115" s="36">
        <f>L115</f>
        <v>0</v>
      </c>
    </row>
    <row r="116" spans="1:48" ht="12.75">
      <c r="A116" s="4" t="s">
        <v>53</v>
      </c>
      <c r="B116" s="4"/>
      <c r="C116" s="4" t="s">
        <v>301</v>
      </c>
      <c r="D116" s="4" t="s">
        <v>623</v>
      </c>
      <c r="E116" s="4" t="s">
        <v>1015</v>
      </c>
      <c r="F116" s="20">
        <v>0.29753</v>
      </c>
      <c r="G116" s="20">
        <v>0</v>
      </c>
      <c r="H116" s="20">
        <f>F116*AE116</f>
        <v>0</v>
      </c>
      <c r="I116" s="20">
        <f>J116-H116</f>
        <v>0</v>
      </c>
      <c r="J116" s="20">
        <f>F116*G116</f>
        <v>0</v>
      </c>
      <c r="K116" s="20">
        <v>1.01665</v>
      </c>
      <c r="L116" s="20">
        <f>F116*K116</f>
        <v>0.3024838745</v>
      </c>
      <c r="M116" s="32" t="s">
        <v>1040</v>
      </c>
      <c r="P116" s="36">
        <f>IF(AG116="5",J116,0)</f>
        <v>0</v>
      </c>
      <c r="R116" s="36">
        <f>IF(AG116="1",H116,0)</f>
        <v>0</v>
      </c>
      <c r="S116" s="36">
        <f>IF(AG116="1",I116,0)</f>
        <v>0</v>
      </c>
      <c r="T116" s="36">
        <f>IF(AG116="7",H116,0)</f>
        <v>0</v>
      </c>
      <c r="U116" s="36">
        <f>IF(AG116="7",I116,0)</f>
        <v>0</v>
      </c>
      <c r="V116" s="36">
        <f>IF(AG116="2",H116,0)</f>
        <v>0</v>
      </c>
      <c r="W116" s="36">
        <f>IF(AG116="2",I116,0)</f>
        <v>0</v>
      </c>
      <c r="X116" s="36">
        <f>IF(AG116="0",J116,0)</f>
        <v>0</v>
      </c>
      <c r="Y116" s="29"/>
      <c r="Z116" s="20">
        <f>IF(AD116=0,J116,0)</f>
        <v>0</v>
      </c>
      <c r="AA116" s="20">
        <f>IF(AD116=15,J116,0)</f>
        <v>0</v>
      </c>
      <c r="AB116" s="20">
        <f>IF(AD116=21,J116,0)</f>
        <v>0</v>
      </c>
      <c r="AD116" s="36">
        <v>21</v>
      </c>
      <c r="AE116" s="36">
        <f>G116*0.6683097991479</f>
        <v>0</v>
      </c>
      <c r="AF116" s="36">
        <f>G116*(1-0.6683097991479)</f>
        <v>0</v>
      </c>
      <c r="AG116" s="32" t="s">
        <v>7</v>
      </c>
      <c r="AM116" s="36">
        <f>F116*AE116</f>
        <v>0</v>
      </c>
      <c r="AN116" s="36">
        <f>F116*AF116</f>
        <v>0</v>
      </c>
      <c r="AO116" s="37" t="s">
        <v>1059</v>
      </c>
      <c r="AP116" s="37" t="s">
        <v>1092</v>
      </c>
      <c r="AQ116" s="29" t="s">
        <v>1101</v>
      </c>
      <c r="AS116" s="36">
        <f>AM116+AN116</f>
        <v>0</v>
      </c>
      <c r="AT116" s="36">
        <f>G116/(100-AU116)*100</f>
        <v>0</v>
      </c>
      <c r="AU116" s="36">
        <v>0</v>
      </c>
      <c r="AV116" s="36">
        <f>L116</f>
        <v>0.3024838745</v>
      </c>
    </row>
    <row r="117" spans="4:6" ht="12.75">
      <c r="D117" s="17" t="s">
        <v>624</v>
      </c>
      <c r="F117" s="21">
        <v>0.29753</v>
      </c>
    </row>
    <row r="118" spans="1:48" ht="12.75">
      <c r="A118" s="4" t="s">
        <v>54</v>
      </c>
      <c r="B118" s="4"/>
      <c r="C118" s="4" t="s">
        <v>302</v>
      </c>
      <c r="D118" s="4" t="s">
        <v>625</v>
      </c>
      <c r="E118" s="4" t="s">
        <v>1014</v>
      </c>
      <c r="F118" s="20">
        <v>3.00938</v>
      </c>
      <c r="G118" s="20">
        <v>0</v>
      </c>
      <c r="H118" s="20">
        <f>F118*AE118</f>
        <v>0</v>
      </c>
      <c r="I118" s="20">
        <f>J118-H118</f>
        <v>0</v>
      </c>
      <c r="J118" s="20">
        <f>F118*G118</f>
        <v>0</v>
      </c>
      <c r="K118" s="20">
        <v>2.52511</v>
      </c>
      <c r="L118" s="20">
        <f>F118*K118</f>
        <v>7.599015531800001</v>
      </c>
      <c r="M118" s="32" t="s">
        <v>1040</v>
      </c>
      <c r="P118" s="36">
        <f>IF(AG118="5",J118,0)</f>
        <v>0</v>
      </c>
      <c r="R118" s="36">
        <f>IF(AG118="1",H118,0)</f>
        <v>0</v>
      </c>
      <c r="S118" s="36">
        <f>IF(AG118="1",I118,0)</f>
        <v>0</v>
      </c>
      <c r="T118" s="36">
        <f>IF(AG118="7",H118,0)</f>
        <v>0</v>
      </c>
      <c r="U118" s="36">
        <f>IF(AG118="7",I118,0)</f>
        <v>0</v>
      </c>
      <c r="V118" s="36">
        <f>IF(AG118="2",H118,0)</f>
        <v>0</v>
      </c>
      <c r="W118" s="36">
        <f>IF(AG118="2",I118,0)</f>
        <v>0</v>
      </c>
      <c r="X118" s="36">
        <f>IF(AG118="0",J118,0)</f>
        <v>0</v>
      </c>
      <c r="Y118" s="29"/>
      <c r="Z118" s="20">
        <f>IF(AD118=0,J118,0)</f>
        <v>0</v>
      </c>
      <c r="AA118" s="20">
        <f>IF(AD118=15,J118,0)</f>
        <v>0</v>
      </c>
      <c r="AB118" s="20">
        <f>IF(AD118=21,J118,0)</f>
        <v>0</v>
      </c>
      <c r="AD118" s="36">
        <v>21</v>
      </c>
      <c r="AE118" s="36">
        <f>G118*0.828709677419355</f>
        <v>0</v>
      </c>
      <c r="AF118" s="36">
        <f>G118*(1-0.828709677419355)</f>
        <v>0</v>
      </c>
      <c r="AG118" s="32" t="s">
        <v>7</v>
      </c>
      <c r="AM118" s="36">
        <f>F118*AE118</f>
        <v>0</v>
      </c>
      <c r="AN118" s="36">
        <f>F118*AF118</f>
        <v>0</v>
      </c>
      <c r="AO118" s="37" t="s">
        <v>1059</v>
      </c>
      <c r="AP118" s="37" t="s">
        <v>1092</v>
      </c>
      <c r="AQ118" s="29" t="s">
        <v>1101</v>
      </c>
      <c r="AS118" s="36">
        <f>AM118+AN118</f>
        <v>0</v>
      </c>
      <c r="AT118" s="36">
        <f>G118/(100-AU118)*100</f>
        <v>0</v>
      </c>
      <c r="AU118" s="36">
        <v>0</v>
      </c>
      <c r="AV118" s="36">
        <f>L118</f>
        <v>7.599015531800001</v>
      </c>
    </row>
    <row r="119" spans="4:6" ht="12.75">
      <c r="D119" s="17" t="s">
        <v>626</v>
      </c>
      <c r="F119" s="21">
        <v>3.00938</v>
      </c>
    </row>
    <row r="120" spans="1:37" ht="12.75">
      <c r="A120" s="5"/>
      <c r="B120" s="13"/>
      <c r="C120" s="13" t="s">
        <v>51</v>
      </c>
      <c r="D120" s="93" t="s">
        <v>627</v>
      </c>
      <c r="E120" s="94"/>
      <c r="F120" s="94"/>
      <c r="G120" s="94"/>
      <c r="H120" s="39">
        <f>SUM(H121:H124)</f>
        <v>0</v>
      </c>
      <c r="I120" s="39">
        <f>SUM(I121:I124)</f>
        <v>0</v>
      </c>
      <c r="J120" s="39">
        <f>H120+I120</f>
        <v>0</v>
      </c>
      <c r="K120" s="29"/>
      <c r="L120" s="39">
        <f>SUM(L121:L124)</f>
        <v>23.184606750000004</v>
      </c>
      <c r="M120" s="29"/>
      <c r="Y120" s="29"/>
      <c r="AI120" s="39">
        <f>SUM(Z121:Z124)</f>
        <v>0</v>
      </c>
      <c r="AJ120" s="39">
        <f>SUM(AA121:AA124)</f>
        <v>0</v>
      </c>
      <c r="AK120" s="39">
        <f>SUM(AB121:AB124)</f>
        <v>0</v>
      </c>
    </row>
    <row r="121" spans="1:48" ht="12.75">
      <c r="A121" s="4" t="s">
        <v>55</v>
      </c>
      <c r="B121" s="4"/>
      <c r="C121" s="4" t="s">
        <v>303</v>
      </c>
      <c r="D121" s="4" t="s">
        <v>628</v>
      </c>
      <c r="E121" s="4" t="s">
        <v>1014</v>
      </c>
      <c r="F121" s="20">
        <v>1.165</v>
      </c>
      <c r="G121" s="20">
        <v>0</v>
      </c>
      <c r="H121" s="20">
        <f>F121*AE121</f>
        <v>0</v>
      </c>
      <c r="I121" s="20">
        <f>J121-H121</f>
        <v>0</v>
      </c>
      <c r="J121" s="20">
        <f>F121*G121</f>
        <v>0</v>
      </c>
      <c r="K121" s="20">
        <v>1.1322</v>
      </c>
      <c r="L121" s="20">
        <f>F121*K121</f>
        <v>1.3190130000000002</v>
      </c>
      <c r="M121" s="32" t="s">
        <v>1040</v>
      </c>
      <c r="P121" s="36">
        <f>IF(AG121="5",J121,0)</f>
        <v>0</v>
      </c>
      <c r="R121" s="36">
        <f>IF(AG121="1",H121,0)</f>
        <v>0</v>
      </c>
      <c r="S121" s="36">
        <f>IF(AG121="1",I121,0)</f>
        <v>0</v>
      </c>
      <c r="T121" s="36">
        <f>IF(AG121="7",H121,0)</f>
        <v>0</v>
      </c>
      <c r="U121" s="36">
        <f>IF(AG121="7",I121,0)</f>
        <v>0</v>
      </c>
      <c r="V121" s="36">
        <f>IF(AG121="2",H121,0)</f>
        <v>0</v>
      </c>
      <c r="W121" s="36">
        <f>IF(AG121="2",I121,0)</f>
        <v>0</v>
      </c>
      <c r="X121" s="36">
        <f>IF(AG121="0",J121,0)</f>
        <v>0</v>
      </c>
      <c r="Y121" s="29"/>
      <c r="Z121" s="20">
        <f>IF(AD121=0,J121,0)</f>
        <v>0</v>
      </c>
      <c r="AA121" s="20">
        <f>IF(AD121=15,J121,0)</f>
        <v>0</v>
      </c>
      <c r="AB121" s="20">
        <f>IF(AD121=21,J121,0)</f>
        <v>0</v>
      </c>
      <c r="AD121" s="36">
        <v>21</v>
      </c>
      <c r="AE121" s="36">
        <f>G121*0.44952736318408</f>
        <v>0</v>
      </c>
      <c r="AF121" s="36">
        <f>G121*(1-0.44952736318408)</f>
        <v>0</v>
      </c>
      <c r="AG121" s="32" t="s">
        <v>7</v>
      </c>
      <c r="AM121" s="36">
        <f>F121*AE121</f>
        <v>0</v>
      </c>
      <c r="AN121" s="36">
        <f>F121*AF121</f>
        <v>0</v>
      </c>
      <c r="AO121" s="37" t="s">
        <v>1060</v>
      </c>
      <c r="AP121" s="37" t="s">
        <v>1092</v>
      </c>
      <c r="AQ121" s="29" t="s">
        <v>1101</v>
      </c>
      <c r="AS121" s="36">
        <f>AM121+AN121</f>
        <v>0</v>
      </c>
      <c r="AT121" s="36">
        <f>G121/(100-AU121)*100</f>
        <v>0</v>
      </c>
      <c r="AU121" s="36">
        <v>0</v>
      </c>
      <c r="AV121" s="36">
        <f>L121</f>
        <v>1.3190130000000002</v>
      </c>
    </row>
    <row r="122" spans="4:6" ht="12.75">
      <c r="D122" s="17" t="s">
        <v>629</v>
      </c>
      <c r="F122" s="21">
        <v>1.165</v>
      </c>
    </row>
    <row r="123" spans="3:13" ht="12.75">
      <c r="C123" s="14" t="s">
        <v>255</v>
      </c>
      <c r="D123" s="91" t="s">
        <v>554</v>
      </c>
      <c r="E123" s="92"/>
      <c r="F123" s="92"/>
      <c r="G123" s="92"/>
      <c r="H123" s="92"/>
      <c r="I123" s="92"/>
      <c r="J123" s="92"/>
      <c r="K123" s="92"/>
      <c r="L123" s="92"/>
      <c r="M123" s="92"/>
    </row>
    <row r="124" spans="1:48" ht="12.75">
      <c r="A124" s="4" t="s">
        <v>56</v>
      </c>
      <c r="B124" s="4"/>
      <c r="C124" s="4" t="s">
        <v>304</v>
      </c>
      <c r="D124" s="4" t="s">
        <v>630</v>
      </c>
      <c r="E124" s="4" t="s">
        <v>1014</v>
      </c>
      <c r="F124" s="20">
        <v>12.2325</v>
      </c>
      <c r="G124" s="20">
        <v>0</v>
      </c>
      <c r="H124" s="20">
        <f>F124*AE124</f>
        <v>0</v>
      </c>
      <c r="I124" s="20">
        <f>J124-H124</f>
        <v>0</v>
      </c>
      <c r="J124" s="20">
        <f>F124*G124</f>
        <v>0</v>
      </c>
      <c r="K124" s="20">
        <v>1.7875</v>
      </c>
      <c r="L124" s="20">
        <f>F124*K124</f>
        <v>21.865593750000002</v>
      </c>
      <c r="M124" s="32" t="s">
        <v>1040</v>
      </c>
      <c r="P124" s="36">
        <f>IF(AG124="5",J124,0)</f>
        <v>0</v>
      </c>
      <c r="R124" s="36">
        <f>IF(AG124="1",H124,0)</f>
        <v>0</v>
      </c>
      <c r="S124" s="36">
        <f>IF(AG124="1",I124,0)</f>
        <v>0</v>
      </c>
      <c r="T124" s="36">
        <f>IF(AG124="7",H124,0)</f>
        <v>0</v>
      </c>
      <c r="U124" s="36">
        <f>IF(AG124="7",I124,0)</f>
        <v>0</v>
      </c>
      <c r="V124" s="36">
        <f>IF(AG124="2",H124,0)</f>
        <v>0</v>
      </c>
      <c r="W124" s="36">
        <f>IF(AG124="2",I124,0)</f>
        <v>0</v>
      </c>
      <c r="X124" s="36">
        <f>IF(AG124="0",J124,0)</f>
        <v>0</v>
      </c>
      <c r="Y124" s="29"/>
      <c r="Z124" s="20">
        <f>IF(AD124=0,J124,0)</f>
        <v>0</v>
      </c>
      <c r="AA124" s="20">
        <f>IF(AD124=15,J124,0)</f>
        <v>0</v>
      </c>
      <c r="AB124" s="20">
        <f>IF(AD124=21,J124,0)</f>
        <v>0</v>
      </c>
      <c r="AD124" s="36">
        <v>21</v>
      </c>
      <c r="AE124" s="36">
        <f>G124*0.674342342342342</f>
        <v>0</v>
      </c>
      <c r="AF124" s="36">
        <f>G124*(1-0.674342342342342)</f>
        <v>0</v>
      </c>
      <c r="AG124" s="32" t="s">
        <v>7</v>
      </c>
      <c r="AM124" s="36">
        <f>F124*AE124</f>
        <v>0</v>
      </c>
      <c r="AN124" s="36">
        <f>F124*AF124</f>
        <v>0</v>
      </c>
      <c r="AO124" s="37" t="s">
        <v>1060</v>
      </c>
      <c r="AP124" s="37" t="s">
        <v>1092</v>
      </c>
      <c r="AQ124" s="29" t="s">
        <v>1101</v>
      </c>
      <c r="AS124" s="36">
        <f>AM124+AN124</f>
        <v>0</v>
      </c>
      <c r="AT124" s="36">
        <f>G124/(100-AU124)*100</f>
        <v>0</v>
      </c>
      <c r="AU124" s="36">
        <v>0</v>
      </c>
      <c r="AV124" s="36">
        <f>L124</f>
        <v>21.865593750000002</v>
      </c>
    </row>
    <row r="125" spans="4:6" ht="12.75">
      <c r="D125" s="17" t="s">
        <v>631</v>
      </c>
      <c r="F125" s="21">
        <v>12.2325</v>
      </c>
    </row>
    <row r="126" spans="3:13" ht="12.75">
      <c r="C126" s="14" t="s">
        <v>255</v>
      </c>
      <c r="D126" s="91" t="s">
        <v>632</v>
      </c>
      <c r="E126" s="92"/>
      <c r="F126" s="92"/>
      <c r="G126" s="92"/>
      <c r="H126" s="92"/>
      <c r="I126" s="92"/>
      <c r="J126" s="92"/>
      <c r="K126" s="92"/>
      <c r="L126" s="92"/>
      <c r="M126" s="92"/>
    </row>
    <row r="127" spans="1:37" ht="12.75">
      <c r="A127" s="5"/>
      <c r="B127" s="13"/>
      <c r="C127" s="13" t="s">
        <v>62</v>
      </c>
      <c r="D127" s="93" t="s">
        <v>633</v>
      </c>
      <c r="E127" s="94"/>
      <c r="F127" s="94"/>
      <c r="G127" s="94"/>
      <c r="H127" s="39">
        <f>SUM(H128:H128)</f>
        <v>0</v>
      </c>
      <c r="I127" s="39">
        <f>SUM(I128:I128)</f>
        <v>0</v>
      </c>
      <c r="J127" s="39">
        <f>H127+I127</f>
        <v>0</v>
      </c>
      <c r="K127" s="29"/>
      <c r="L127" s="39">
        <f>SUM(L128:L128)</f>
        <v>17.69677875</v>
      </c>
      <c r="M127" s="29"/>
      <c r="Y127" s="29"/>
      <c r="AI127" s="39">
        <f>SUM(Z128:Z128)</f>
        <v>0</v>
      </c>
      <c r="AJ127" s="39">
        <f>SUM(AA128:AA128)</f>
        <v>0</v>
      </c>
      <c r="AK127" s="39">
        <f>SUM(AB128:AB128)</f>
        <v>0</v>
      </c>
    </row>
    <row r="128" spans="1:48" ht="12.75">
      <c r="A128" s="4" t="s">
        <v>57</v>
      </c>
      <c r="B128" s="4"/>
      <c r="C128" s="4" t="s">
        <v>305</v>
      </c>
      <c r="D128" s="4" t="s">
        <v>634</v>
      </c>
      <c r="E128" s="4" t="s">
        <v>1016</v>
      </c>
      <c r="F128" s="20">
        <v>53.505</v>
      </c>
      <c r="G128" s="20">
        <v>0</v>
      </c>
      <c r="H128" s="20">
        <f>F128*AE128</f>
        <v>0</v>
      </c>
      <c r="I128" s="20">
        <f>J128-H128</f>
        <v>0</v>
      </c>
      <c r="J128" s="20">
        <f>F128*G128</f>
        <v>0</v>
      </c>
      <c r="K128" s="20">
        <v>0.33075</v>
      </c>
      <c r="L128" s="20">
        <f>F128*K128</f>
        <v>17.69677875</v>
      </c>
      <c r="M128" s="32" t="s">
        <v>1040</v>
      </c>
      <c r="P128" s="36">
        <f>IF(AG128="5",J128,0)</f>
        <v>0</v>
      </c>
      <c r="R128" s="36">
        <f>IF(AG128="1",H128,0)</f>
        <v>0</v>
      </c>
      <c r="S128" s="36">
        <f>IF(AG128="1",I128,0)</f>
        <v>0</v>
      </c>
      <c r="T128" s="36">
        <f>IF(AG128="7",H128,0)</f>
        <v>0</v>
      </c>
      <c r="U128" s="36">
        <f>IF(AG128="7",I128,0)</f>
        <v>0</v>
      </c>
      <c r="V128" s="36">
        <f>IF(AG128="2",H128,0)</f>
        <v>0</v>
      </c>
      <c r="W128" s="36">
        <f>IF(AG128="2",I128,0)</f>
        <v>0</v>
      </c>
      <c r="X128" s="36">
        <f>IF(AG128="0",J128,0)</f>
        <v>0</v>
      </c>
      <c r="Y128" s="29"/>
      <c r="Z128" s="20">
        <f>IF(AD128=0,J128,0)</f>
        <v>0</v>
      </c>
      <c r="AA128" s="20">
        <f>IF(AD128=15,J128,0)</f>
        <v>0</v>
      </c>
      <c r="AB128" s="20">
        <f>IF(AD128=21,J128,0)</f>
        <v>0</v>
      </c>
      <c r="AD128" s="36">
        <v>21</v>
      </c>
      <c r="AE128" s="36">
        <f>G128*0.854059869628505</f>
        <v>0</v>
      </c>
      <c r="AF128" s="36">
        <f>G128*(1-0.854059869628505)</f>
        <v>0</v>
      </c>
      <c r="AG128" s="32" t="s">
        <v>7</v>
      </c>
      <c r="AM128" s="36">
        <f>F128*AE128</f>
        <v>0</v>
      </c>
      <c r="AN128" s="36">
        <f>F128*AF128</f>
        <v>0</v>
      </c>
      <c r="AO128" s="37" t="s">
        <v>1061</v>
      </c>
      <c r="AP128" s="37" t="s">
        <v>1093</v>
      </c>
      <c r="AQ128" s="29" t="s">
        <v>1101</v>
      </c>
      <c r="AS128" s="36">
        <f>AM128+AN128</f>
        <v>0</v>
      </c>
      <c r="AT128" s="36">
        <f>G128/(100-AU128)*100</f>
        <v>0</v>
      </c>
      <c r="AU128" s="36">
        <v>0</v>
      </c>
      <c r="AV128" s="36">
        <f>L128</f>
        <v>17.69677875</v>
      </c>
    </row>
    <row r="129" spans="4:6" ht="12.75">
      <c r="D129" s="17" t="s">
        <v>565</v>
      </c>
      <c r="F129" s="21">
        <v>53.505</v>
      </c>
    </row>
    <row r="130" spans="1:37" ht="12.75">
      <c r="A130" s="5"/>
      <c r="B130" s="13"/>
      <c r="C130" s="13" t="s">
        <v>63</v>
      </c>
      <c r="D130" s="93" t="s">
        <v>635</v>
      </c>
      <c r="E130" s="94"/>
      <c r="F130" s="94"/>
      <c r="G130" s="94"/>
      <c r="H130" s="39">
        <f>SUM(H131:H131)</f>
        <v>0</v>
      </c>
      <c r="I130" s="39">
        <f>SUM(I131:I131)</f>
        <v>0</v>
      </c>
      <c r="J130" s="39">
        <f>H130+I130</f>
        <v>0</v>
      </c>
      <c r="K130" s="29"/>
      <c r="L130" s="39">
        <f>SUM(L131:L131)</f>
        <v>0</v>
      </c>
      <c r="M130" s="29"/>
      <c r="Y130" s="29"/>
      <c r="AI130" s="39">
        <f>SUM(Z131:Z131)</f>
        <v>0</v>
      </c>
      <c r="AJ130" s="39">
        <f>SUM(AA131:AA131)</f>
        <v>0</v>
      </c>
      <c r="AK130" s="39">
        <f>SUM(AB131:AB131)</f>
        <v>0</v>
      </c>
    </row>
    <row r="131" spans="1:48" ht="12.75">
      <c r="A131" s="4" t="s">
        <v>58</v>
      </c>
      <c r="B131" s="4"/>
      <c r="C131" s="4" t="s">
        <v>306</v>
      </c>
      <c r="D131" s="4" t="s">
        <v>636</v>
      </c>
      <c r="E131" s="4" t="s">
        <v>1020</v>
      </c>
      <c r="F131" s="20">
        <v>0</v>
      </c>
      <c r="G131" s="20">
        <v>0</v>
      </c>
      <c r="H131" s="20">
        <f>F131*AE131</f>
        <v>0</v>
      </c>
      <c r="I131" s="20">
        <f>J131-H131</f>
        <v>0</v>
      </c>
      <c r="J131" s="20">
        <f>F131*G131</f>
        <v>0</v>
      </c>
      <c r="K131" s="20">
        <v>0</v>
      </c>
      <c r="L131" s="20">
        <f>F131*K131</f>
        <v>0</v>
      </c>
      <c r="M131" s="32"/>
      <c r="P131" s="36">
        <f>IF(AG131="5",J131,0)</f>
        <v>0</v>
      </c>
      <c r="R131" s="36">
        <f>IF(AG131="1",H131,0)</f>
        <v>0</v>
      </c>
      <c r="S131" s="36">
        <f>IF(AG131="1",I131,0)</f>
        <v>0</v>
      </c>
      <c r="T131" s="36">
        <f>IF(AG131="7",H131,0)</f>
        <v>0</v>
      </c>
      <c r="U131" s="36">
        <f>IF(AG131="7",I131,0)</f>
        <v>0</v>
      </c>
      <c r="V131" s="36">
        <f>IF(AG131="2",H131,0)</f>
        <v>0</v>
      </c>
      <c r="W131" s="36">
        <f>IF(AG131="2",I131,0)</f>
        <v>0</v>
      </c>
      <c r="X131" s="36">
        <f>IF(AG131="0",J131,0)</f>
        <v>0</v>
      </c>
      <c r="Y131" s="29"/>
      <c r="Z131" s="20">
        <f>IF(AD131=0,J131,0)</f>
        <v>0</v>
      </c>
      <c r="AA131" s="20">
        <f>IF(AD131=15,J131,0)</f>
        <v>0</v>
      </c>
      <c r="AB131" s="20">
        <f>IF(AD131=21,J131,0)</f>
        <v>0</v>
      </c>
      <c r="AD131" s="36">
        <v>21</v>
      </c>
      <c r="AE131" s="36">
        <f>G131*0</f>
        <v>0</v>
      </c>
      <c r="AF131" s="36">
        <f>G131*(1-0)</f>
        <v>0</v>
      </c>
      <c r="AG131" s="32" t="s">
        <v>7</v>
      </c>
      <c r="AM131" s="36">
        <f>F131*AE131</f>
        <v>0</v>
      </c>
      <c r="AN131" s="36">
        <f>F131*AF131</f>
        <v>0</v>
      </c>
      <c r="AO131" s="37" t="s">
        <v>1062</v>
      </c>
      <c r="AP131" s="37" t="s">
        <v>1093</v>
      </c>
      <c r="AQ131" s="29" t="s">
        <v>1101</v>
      </c>
      <c r="AS131" s="36">
        <f>AM131+AN131</f>
        <v>0</v>
      </c>
      <c r="AT131" s="36">
        <f>G131/(100-AU131)*100</f>
        <v>0</v>
      </c>
      <c r="AU131" s="36">
        <v>0</v>
      </c>
      <c r="AV131" s="36">
        <f>L131</f>
        <v>0</v>
      </c>
    </row>
    <row r="132" spans="3:13" ht="12.75">
      <c r="C132" s="14" t="s">
        <v>255</v>
      </c>
      <c r="D132" s="91" t="s">
        <v>637</v>
      </c>
      <c r="E132" s="92"/>
      <c r="F132" s="92"/>
      <c r="G132" s="92"/>
      <c r="H132" s="92"/>
      <c r="I132" s="92"/>
      <c r="J132" s="92"/>
      <c r="K132" s="92"/>
      <c r="L132" s="92"/>
      <c r="M132" s="92"/>
    </row>
    <row r="133" spans="1:37" ht="12.75">
      <c r="A133" s="5"/>
      <c r="B133" s="13"/>
      <c r="C133" s="13" t="s">
        <v>65</v>
      </c>
      <c r="D133" s="93" t="s">
        <v>638</v>
      </c>
      <c r="E133" s="94"/>
      <c r="F133" s="94"/>
      <c r="G133" s="94"/>
      <c r="H133" s="39">
        <f>SUM(H134:H142)</f>
        <v>0</v>
      </c>
      <c r="I133" s="39">
        <f>SUM(I134:I142)</f>
        <v>0</v>
      </c>
      <c r="J133" s="39">
        <f>H133+I133</f>
        <v>0</v>
      </c>
      <c r="K133" s="29"/>
      <c r="L133" s="39">
        <f>SUM(L134:L142)</f>
        <v>13.922102550000002</v>
      </c>
      <c r="M133" s="29"/>
      <c r="Y133" s="29"/>
      <c r="AI133" s="39">
        <f>SUM(Z134:Z142)</f>
        <v>0</v>
      </c>
      <c r="AJ133" s="39">
        <f>SUM(AA134:AA142)</f>
        <v>0</v>
      </c>
      <c r="AK133" s="39">
        <f>SUM(AB134:AB142)</f>
        <v>0</v>
      </c>
    </row>
    <row r="134" spans="1:48" ht="12.75">
      <c r="A134" s="4" t="s">
        <v>59</v>
      </c>
      <c r="B134" s="4"/>
      <c r="C134" s="4" t="s">
        <v>307</v>
      </c>
      <c r="D134" s="4" t="s">
        <v>639</v>
      </c>
      <c r="E134" s="4" t="s">
        <v>1016</v>
      </c>
      <c r="F134" s="20">
        <v>53.505</v>
      </c>
      <c r="G134" s="20">
        <v>0</v>
      </c>
      <c r="H134" s="20">
        <f>F134*AE134</f>
        <v>0</v>
      </c>
      <c r="I134" s="20">
        <f>J134-H134</f>
        <v>0</v>
      </c>
      <c r="J134" s="20">
        <f>F134*G134</f>
        <v>0</v>
      </c>
      <c r="K134" s="20">
        <v>0.05545</v>
      </c>
      <c r="L134" s="20">
        <f>F134*K134</f>
        <v>2.96685225</v>
      </c>
      <c r="M134" s="32" t="s">
        <v>1040</v>
      </c>
      <c r="P134" s="36">
        <f>IF(AG134="5",J134,0)</f>
        <v>0</v>
      </c>
      <c r="R134" s="36">
        <f>IF(AG134="1",H134,0)</f>
        <v>0</v>
      </c>
      <c r="S134" s="36">
        <f>IF(AG134="1",I134,0)</f>
        <v>0</v>
      </c>
      <c r="T134" s="36">
        <f>IF(AG134="7",H134,0)</f>
        <v>0</v>
      </c>
      <c r="U134" s="36">
        <f>IF(AG134="7",I134,0)</f>
        <v>0</v>
      </c>
      <c r="V134" s="36">
        <f>IF(AG134="2",H134,0)</f>
        <v>0</v>
      </c>
      <c r="W134" s="36">
        <f>IF(AG134="2",I134,0)</f>
        <v>0</v>
      </c>
      <c r="X134" s="36">
        <f>IF(AG134="0",J134,0)</f>
        <v>0</v>
      </c>
      <c r="Y134" s="29"/>
      <c r="Z134" s="20">
        <f>IF(AD134=0,J134,0)</f>
        <v>0</v>
      </c>
      <c r="AA134" s="20">
        <f>IF(AD134=15,J134,0)</f>
        <v>0</v>
      </c>
      <c r="AB134" s="20">
        <f>IF(AD134=21,J134,0)</f>
        <v>0</v>
      </c>
      <c r="AD134" s="36">
        <v>21</v>
      </c>
      <c r="AE134" s="36">
        <f>G134*0.147512953367876</f>
        <v>0</v>
      </c>
      <c r="AF134" s="36">
        <f>G134*(1-0.147512953367876)</f>
        <v>0</v>
      </c>
      <c r="AG134" s="32" t="s">
        <v>7</v>
      </c>
      <c r="AM134" s="36">
        <f>F134*AE134</f>
        <v>0</v>
      </c>
      <c r="AN134" s="36">
        <f>F134*AF134</f>
        <v>0</v>
      </c>
      <c r="AO134" s="37" t="s">
        <v>1063</v>
      </c>
      <c r="AP134" s="37" t="s">
        <v>1093</v>
      </c>
      <c r="AQ134" s="29" t="s">
        <v>1101</v>
      </c>
      <c r="AS134" s="36">
        <f>AM134+AN134</f>
        <v>0</v>
      </c>
      <c r="AT134" s="36">
        <f>G134/(100-AU134)*100</f>
        <v>0</v>
      </c>
      <c r="AU134" s="36">
        <v>0</v>
      </c>
      <c r="AV134" s="36">
        <f>L134</f>
        <v>2.96685225</v>
      </c>
    </row>
    <row r="135" spans="4:6" ht="12.75">
      <c r="D135" s="17" t="s">
        <v>565</v>
      </c>
      <c r="F135" s="21">
        <v>53.505</v>
      </c>
    </row>
    <row r="136" spans="1:48" ht="12.75">
      <c r="A136" s="6" t="s">
        <v>60</v>
      </c>
      <c r="B136" s="6"/>
      <c r="C136" s="6" t="s">
        <v>308</v>
      </c>
      <c r="D136" s="6" t="s">
        <v>640</v>
      </c>
      <c r="E136" s="6" t="s">
        <v>1016</v>
      </c>
      <c r="F136" s="22">
        <v>54.5751</v>
      </c>
      <c r="G136" s="22">
        <v>0</v>
      </c>
      <c r="H136" s="22">
        <f>F136*AE136</f>
        <v>0</v>
      </c>
      <c r="I136" s="22">
        <f>J136-H136</f>
        <v>0</v>
      </c>
      <c r="J136" s="22">
        <f>F136*G136</f>
        <v>0</v>
      </c>
      <c r="K136" s="22">
        <v>0.113</v>
      </c>
      <c r="L136" s="22">
        <f>F136*K136</f>
        <v>6.1669863000000005</v>
      </c>
      <c r="M136" s="33" t="s">
        <v>1040</v>
      </c>
      <c r="P136" s="36">
        <f>IF(AG136="5",J136,0)</f>
        <v>0</v>
      </c>
      <c r="R136" s="36">
        <f>IF(AG136="1",H136,0)</f>
        <v>0</v>
      </c>
      <c r="S136" s="36">
        <f>IF(AG136="1",I136,0)</f>
        <v>0</v>
      </c>
      <c r="T136" s="36">
        <f>IF(AG136="7",H136,0)</f>
        <v>0</v>
      </c>
      <c r="U136" s="36">
        <f>IF(AG136="7",I136,0)</f>
        <v>0</v>
      </c>
      <c r="V136" s="36">
        <f>IF(AG136="2",H136,0)</f>
        <v>0</v>
      </c>
      <c r="W136" s="36">
        <f>IF(AG136="2",I136,0)</f>
        <v>0</v>
      </c>
      <c r="X136" s="36">
        <f>IF(AG136="0",J136,0)</f>
        <v>0</v>
      </c>
      <c r="Y136" s="29"/>
      <c r="Z136" s="22">
        <f>IF(AD136=0,J136,0)</f>
        <v>0</v>
      </c>
      <c r="AA136" s="22">
        <f>IF(AD136=15,J136,0)</f>
        <v>0</v>
      </c>
      <c r="AB136" s="22">
        <f>IF(AD136=21,J136,0)</f>
        <v>0</v>
      </c>
      <c r="AD136" s="36">
        <v>21</v>
      </c>
      <c r="AE136" s="36">
        <f>G136*1</f>
        <v>0</v>
      </c>
      <c r="AF136" s="36">
        <f>G136*(1-1)</f>
        <v>0</v>
      </c>
      <c r="AG136" s="33" t="s">
        <v>7</v>
      </c>
      <c r="AM136" s="36">
        <f>F136*AE136</f>
        <v>0</v>
      </c>
      <c r="AN136" s="36">
        <f>F136*AF136</f>
        <v>0</v>
      </c>
      <c r="AO136" s="37" t="s">
        <v>1063</v>
      </c>
      <c r="AP136" s="37" t="s">
        <v>1093</v>
      </c>
      <c r="AQ136" s="29" t="s">
        <v>1101</v>
      </c>
      <c r="AS136" s="36">
        <f>AM136+AN136</f>
        <v>0</v>
      </c>
      <c r="AT136" s="36">
        <f>G136/(100-AU136)*100</f>
        <v>0</v>
      </c>
      <c r="AU136" s="36">
        <v>0</v>
      </c>
      <c r="AV136" s="36">
        <f>L136</f>
        <v>6.1669863000000005</v>
      </c>
    </row>
    <row r="137" spans="4:6" ht="12.75">
      <c r="D137" s="17" t="s">
        <v>641</v>
      </c>
      <c r="F137" s="21">
        <v>53.505</v>
      </c>
    </row>
    <row r="138" spans="4:6" ht="12.75">
      <c r="D138" s="17" t="s">
        <v>642</v>
      </c>
      <c r="F138" s="21">
        <v>1.0701</v>
      </c>
    </row>
    <row r="139" spans="1:48" ht="12.75">
      <c r="A139" s="4" t="s">
        <v>61</v>
      </c>
      <c r="B139" s="4"/>
      <c r="C139" s="4" t="s">
        <v>309</v>
      </c>
      <c r="D139" s="4" t="s">
        <v>643</v>
      </c>
      <c r="E139" s="4" t="s">
        <v>1019</v>
      </c>
      <c r="F139" s="20">
        <v>29.1</v>
      </c>
      <c r="G139" s="20">
        <v>0</v>
      </c>
      <c r="H139" s="20">
        <f>F139*AE139</f>
        <v>0</v>
      </c>
      <c r="I139" s="20">
        <f>J139-H139</f>
        <v>0</v>
      </c>
      <c r="J139" s="20">
        <f>F139*G139</f>
        <v>0</v>
      </c>
      <c r="K139" s="20">
        <v>0.12472</v>
      </c>
      <c r="L139" s="20">
        <f>F139*K139</f>
        <v>3.629352</v>
      </c>
      <c r="M139" s="32" t="s">
        <v>1040</v>
      </c>
      <c r="P139" s="36">
        <f>IF(AG139="5",J139,0)</f>
        <v>0</v>
      </c>
      <c r="R139" s="36">
        <f>IF(AG139="1",H139,0)</f>
        <v>0</v>
      </c>
      <c r="S139" s="36">
        <f>IF(AG139="1",I139,0)</f>
        <v>0</v>
      </c>
      <c r="T139" s="36">
        <f>IF(AG139="7",H139,0)</f>
        <v>0</v>
      </c>
      <c r="U139" s="36">
        <f>IF(AG139="7",I139,0)</f>
        <v>0</v>
      </c>
      <c r="V139" s="36">
        <f>IF(AG139="2",H139,0)</f>
        <v>0</v>
      </c>
      <c r="W139" s="36">
        <f>IF(AG139="2",I139,0)</f>
        <v>0</v>
      </c>
      <c r="X139" s="36">
        <f>IF(AG139="0",J139,0)</f>
        <v>0</v>
      </c>
      <c r="Y139" s="29"/>
      <c r="Z139" s="20">
        <f>IF(AD139=0,J139,0)</f>
        <v>0</v>
      </c>
      <c r="AA139" s="20">
        <f>IF(AD139=15,J139,0)</f>
        <v>0</v>
      </c>
      <c r="AB139" s="20">
        <f>IF(AD139=21,J139,0)</f>
        <v>0</v>
      </c>
      <c r="AD139" s="36">
        <v>21</v>
      </c>
      <c r="AE139" s="36">
        <f>G139*0.742307076955896</f>
        <v>0</v>
      </c>
      <c r="AF139" s="36">
        <f>G139*(1-0.742307076955896)</f>
        <v>0</v>
      </c>
      <c r="AG139" s="32" t="s">
        <v>7</v>
      </c>
      <c r="AM139" s="36">
        <f>F139*AE139</f>
        <v>0</v>
      </c>
      <c r="AN139" s="36">
        <f>F139*AF139</f>
        <v>0</v>
      </c>
      <c r="AO139" s="37" t="s">
        <v>1063</v>
      </c>
      <c r="AP139" s="37" t="s">
        <v>1093</v>
      </c>
      <c r="AQ139" s="29" t="s">
        <v>1101</v>
      </c>
      <c r="AS139" s="36">
        <f>AM139+AN139</f>
        <v>0</v>
      </c>
      <c r="AT139" s="36">
        <f>G139/(100-AU139)*100</f>
        <v>0</v>
      </c>
      <c r="AU139" s="36">
        <v>0</v>
      </c>
      <c r="AV139" s="36">
        <f>L139</f>
        <v>3.629352</v>
      </c>
    </row>
    <row r="140" spans="4:6" ht="12.75">
      <c r="D140" s="17" t="s">
        <v>644</v>
      </c>
      <c r="F140" s="21">
        <v>29.1</v>
      </c>
    </row>
    <row r="141" spans="3:13" ht="12.75">
      <c r="C141" s="14" t="s">
        <v>255</v>
      </c>
      <c r="D141" s="91" t="s">
        <v>645</v>
      </c>
      <c r="E141" s="92"/>
      <c r="F141" s="92"/>
      <c r="G141" s="92"/>
      <c r="H141" s="92"/>
      <c r="I141" s="92"/>
      <c r="J141" s="92"/>
      <c r="K141" s="92"/>
      <c r="L141" s="92"/>
      <c r="M141" s="92"/>
    </row>
    <row r="142" spans="1:48" ht="12.75">
      <c r="A142" s="4" t="s">
        <v>62</v>
      </c>
      <c r="B142" s="4"/>
      <c r="C142" s="4" t="s">
        <v>310</v>
      </c>
      <c r="D142" s="4" t="s">
        <v>646</v>
      </c>
      <c r="E142" s="4" t="s">
        <v>1016</v>
      </c>
      <c r="F142" s="20">
        <v>6.4</v>
      </c>
      <c r="G142" s="20">
        <v>0</v>
      </c>
      <c r="H142" s="20">
        <f>F142*AE142</f>
        <v>0</v>
      </c>
      <c r="I142" s="20">
        <f>J142-H142</f>
        <v>0</v>
      </c>
      <c r="J142" s="20">
        <f>F142*G142</f>
        <v>0</v>
      </c>
      <c r="K142" s="20">
        <v>0.18108</v>
      </c>
      <c r="L142" s="20">
        <f>F142*K142</f>
        <v>1.158912</v>
      </c>
      <c r="M142" s="32" t="s">
        <v>1040</v>
      </c>
      <c r="P142" s="36">
        <f>IF(AG142="5",J142,0)</f>
        <v>0</v>
      </c>
      <c r="R142" s="36">
        <f>IF(AG142="1",H142,0)</f>
        <v>0</v>
      </c>
      <c r="S142" s="36">
        <f>IF(AG142="1",I142,0)</f>
        <v>0</v>
      </c>
      <c r="T142" s="36">
        <f>IF(AG142="7",H142,0)</f>
        <v>0</v>
      </c>
      <c r="U142" s="36">
        <f>IF(AG142="7",I142,0)</f>
        <v>0</v>
      </c>
      <c r="V142" s="36">
        <f>IF(AG142="2",H142,0)</f>
        <v>0</v>
      </c>
      <c r="W142" s="36">
        <f>IF(AG142="2",I142,0)</f>
        <v>0</v>
      </c>
      <c r="X142" s="36">
        <f>IF(AG142="0",J142,0)</f>
        <v>0</v>
      </c>
      <c r="Y142" s="29"/>
      <c r="Z142" s="20">
        <f>IF(AD142=0,J142,0)</f>
        <v>0</v>
      </c>
      <c r="AA142" s="20">
        <f>IF(AD142=15,J142,0)</f>
        <v>0</v>
      </c>
      <c r="AB142" s="20">
        <f>IF(AD142=21,J142,0)</f>
        <v>0</v>
      </c>
      <c r="AD142" s="36">
        <v>21</v>
      </c>
      <c r="AE142" s="36">
        <f>G142*0.731861471861472</f>
        <v>0</v>
      </c>
      <c r="AF142" s="36">
        <f>G142*(1-0.731861471861472)</f>
        <v>0</v>
      </c>
      <c r="AG142" s="32" t="s">
        <v>7</v>
      </c>
      <c r="AM142" s="36">
        <f>F142*AE142</f>
        <v>0</v>
      </c>
      <c r="AN142" s="36">
        <f>F142*AF142</f>
        <v>0</v>
      </c>
      <c r="AO142" s="37" t="s">
        <v>1063</v>
      </c>
      <c r="AP142" s="37" t="s">
        <v>1093</v>
      </c>
      <c r="AQ142" s="29" t="s">
        <v>1101</v>
      </c>
      <c r="AS142" s="36">
        <f>AM142+AN142</f>
        <v>0</v>
      </c>
      <c r="AT142" s="36">
        <f>G142/(100-AU142)*100</f>
        <v>0</v>
      </c>
      <c r="AU142" s="36">
        <v>0</v>
      </c>
      <c r="AV142" s="36">
        <f>L142</f>
        <v>1.158912</v>
      </c>
    </row>
    <row r="143" spans="4:6" ht="12.75">
      <c r="D143" s="17" t="s">
        <v>647</v>
      </c>
      <c r="F143" s="21">
        <v>6.4</v>
      </c>
    </row>
    <row r="144" spans="3:13" ht="12.75">
      <c r="C144" s="14" t="s">
        <v>255</v>
      </c>
      <c r="D144" s="91" t="s">
        <v>648</v>
      </c>
      <c r="E144" s="92"/>
      <c r="F144" s="92"/>
      <c r="G144" s="92"/>
      <c r="H144" s="92"/>
      <c r="I144" s="92"/>
      <c r="J144" s="92"/>
      <c r="K144" s="92"/>
      <c r="L144" s="92"/>
      <c r="M144" s="92"/>
    </row>
    <row r="145" spans="1:37" ht="12.75">
      <c r="A145" s="5"/>
      <c r="B145" s="13"/>
      <c r="C145" s="13" t="s">
        <v>67</v>
      </c>
      <c r="D145" s="93" t="s">
        <v>649</v>
      </c>
      <c r="E145" s="94"/>
      <c r="F145" s="94"/>
      <c r="G145" s="94"/>
      <c r="H145" s="39">
        <f>SUM(H146:H153)</f>
        <v>0</v>
      </c>
      <c r="I145" s="39">
        <f>SUM(I146:I153)</f>
        <v>0</v>
      </c>
      <c r="J145" s="39">
        <f>H145+I145</f>
        <v>0</v>
      </c>
      <c r="K145" s="29"/>
      <c r="L145" s="39">
        <f>SUM(L146:L153)</f>
        <v>9.345965806</v>
      </c>
      <c r="M145" s="29"/>
      <c r="Y145" s="29"/>
      <c r="AI145" s="39">
        <f>SUM(Z146:Z153)</f>
        <v>0</v>
      </c>
      <c r="AJ145" s="39">
        <f>SUM(AA146:AA153)</f>
        <v>0</v>
      </c>
      <c r="AK145" s="39">
        <f>SUM(AB146:AB153)</f>
        <v>0</v>
      </c>
    </row>
    <row r="146" spans="1:48" ht="12.75">
      <c r="A146" s="4" t="s">
        <v>63</v>
      </c>
      <c r="B146" s="4"/>
      <c r="C146" s="4" t="s">
        <v>311</v>
      </c>
      <c r="D146" s="4" t="s">
        <v>650</v>
      </c>
      <c r="E146" s="4" t="s">
        <v>1016</v>
      </c>
      <c r="F146" s="20">
        <v>22.77</v>
      </c>
      <c r="G146" s="20">
        <v>0</v>
      </c>
      <c r="H146" s="20">
        <f>F146*AE146</f>
        <v>0</v>
      </c>
      <c r="I146" s="20">
        <f>J146-H146</f>
        <v>0</v>
      </c>
      <c r="J146" s="20">
        <f>F146*G146</f>
        <v>0</v>
      </c>
      <c r="K146" s="20">
        <v>4E-05</v>
      </c>
      <c r="L146" s="20">
        <f>F146*K146</f>
        <v>0.0009108</v>
      </c>
      <c r="M146" s="32" t="s">
        <v>1040</v>
      </c>
      <c r="P146" s="36">
        <f>IF(AG146="5",J146,0)</f>
        <v>0</v>
      </c>
      <c r="R146" s="36">
        <f>IF(AG146="1",H146,0)</f>
        <v>0</v>
      </c>
      <c r="S146" s="36">
        <f>IF(AG146="1",I146,0)</f>
        <v>0</v>
      </c>
      <c r="T146" s="36">
        <f>IF(AG146="7",H146,0)</f>
        <v>0</v>
      </c>
      <c r="U146" s="36">
        <f>IF(AG146="7",I146,0)</f>
        <v>0</v>
      </c>
      <c r="V146" s="36">
        <f>IF(AG146="2",H146,0)</f>
        <v>0</v>
      </c>
      <c r="W146" s="36">
        <f>IF(AG146="2",I146,0)</f>
        <v>0</v>
      </c>
      <c r="X146" s="36">
        <f>IF(AG146="0",J146,0)</f>
        <v>0</v>
      </c>
      <c r="Y146" s="29"/>
      <c r="Z146" s="20">
        <f>IF(AD146=0,J146,0)</f>
        <v>0</v>
      </c>
      <c r="AA146" s="20">
        <f>IF(AD146=15,J146,0)</f>
        <v>0</v>
      </c>
      <c r="AB146" s="20">
        <f>IF(AD146=21,J146,0)</f>
        <v>0</v>
      </c>
      <c r="AD146" s="36">
        <v>21</v>
      </c>
      <c r="AE146" s="36">
        <f>G146*0.362200579099763</f>
        <v>0</v>
      </c>
      <c r="AF146" s="36">
        <f>G146*(1-0.362200579099763)</f>
        <v>0</v>
      </c>
      <c r="AG146" s="32" t="s">
        <v>7</v>
      </c>
      <c r="AM146" s="36">
        <f>F146*AE146</f>
        <v>0</v>
      </c>
      <c r="AN146" s="36">
        <f>F146*AF146</f>
        <v>0</v>
      </c>
      <c r="AO146" s="37" t="s">
        <v>1064</v>
      </c>
      <c r="AP146" s="37" t="s">
        <v>1094</v>
      </c>
      <c r="AQ146" s="29" t="s">
        <v>1101</v>
      </c>
      <c r="AS146" s="36">
        <f>AM146+AN146</f>
        <v>0</v>
      </c>
      <c r="AT146" s="36">
        <f>G146/(100-AU146)*100</f>
        <v>0</v>
      </c>
      <c r="AU146" s="36">
        <v>0</v>
      </c>
      <c r="AV146" s="36">
        <f>L146</f>
        <v>0.0009108</v>
      </c>
    </row>
    <row r="147" spans="4:6" ht="12.75">
      <c r="D147" s="17" t="s">
        <v>651</v>
      </c>
      <c r="F147" s="21">
        <v>22.77</v>
      </c>
    </row>
    <row r="148" spans="1:48" ht="12.75">
      <c r="A148" s="4" t="s">
        <v>64</v>
      </c>
      <c r="B148" s="4"/>
      <c r="C148" s="4" t="s">
        <v>312</v>
      </c>
      <c r="D148" s="4" t="s">
        <v>652</v>
      </c>
      <c r="E148" s="4" t="s">
        <v>1016</v>
      </c>
      <c r="F148" s="20">
        <v>316.954</v>
      </c>
      <c r="G148" s="20">
        <v>0</v>
      </c>
      <c r="H148" s="20">
        <f>F148*AE148</f>
        <v>0</v>
      </c>
      <c r="I148" s="20">
        <f>J148-H148</f>
        <v>0</v>
      </c>
      <c r="J148" s="20">
        <f>F148*G148</f>
        <v>0</v>
      </c>
      <c r="K148" s="20">
        <v>0.02798</v>
      </c>
      <c r="L148" s="20">
        <f>F148*K148</f>
        <v>8.86837292</v>
      </c>
      <c r="M148" s="32" t="s">
        <v>1040</v>
      </c>
      <c r="P148" s="36">
        <f>IF(AG148="5",J148,0)</f>
        <v>0</v>
      </c>
      <c r="R148" s="36">
        <f>IF(AG148="1",H148,0)</f>
        <v>0</v>
      </c>
      <c r="S148" s="36">
        <f>IF(AG148="1",I148,0)</f>
        <v>0</v>
      </c>
      <c r="T148" s="36">
        <f>IF(AG148="7",H148,0)</f>
        <v>0</v>
      </c>
      <c r="U148" s="36">
        <f>IF(AG148="7",I148,0)</f>
        <v>0</v>
      </c>
      <c r="V148" s="36">
        <f>IF(AG148="2",H148,0)</f>
        <v>0</v>
      </c>
      <c r="W148" s="36">
        <f>IF(AG148="2",I148,0)</f>
        <v>0</v>
      </c>
      <c r="X148" s="36">
        <f>IF(AG148="0",J148,0)</f>
        <v>0</v>
      </c>
      <c r="Y148" s="29"/>
      <c r="Z148" s="20">
        <f>IF(AD148=0,J148,0)</f>
        <v>0</v>
      </c>
      <c r="AA148" s="20">
        <f>IF(AD148=15,J148,0)</f>
        <v>0</v>
      </c>
      <c r="AB148" s="20">
        <f>IF(AD148=21,J148,0)</f>
        <v>0</v>
      </c>
      <c r="AD148" s="36">
        <v>21</v>
      </c>
      <c r="AE148" s="36">
        <f>G148*0.293620182280506</f>
        <v>0</v>
      </c>
      <c r="AF148" s="36">
        <f>G148*(1-0.293620182280506)</f>
        <v>0</v>
      </c>
      <c r="AG148" s="32" t="s">
        <v>7</v>
      </c>
      <c r="AM148" s="36">
        <f>F148*AE148</f>
        <v>0</v>
      </c>
      <c r="AN148" s="36">
        <f>F148*AF148</f>
        <v>0</v>
      </c>
      <c r="AO148" s="37" t="s">
        <v>1064</v>
      </c>
      <c r="AP148" s="37" t="s">
        <v>1094</v>
      </c>
      <c r="AQ148" s="29" t="s">
        <v>1101</v>
      </c>
      <c r="AS148" s="36">
        <f>AM148+AN148</f>
        <v>0</v>
      </c>
      <c r="AT148" s="36">
        <f>G148/(100-AU148)*100</f>
        <v>0</v>
      </c>
      <c r="AU148" s="36">
        <v>0</v>
      </c>
      <c r="AV148" s="36">
        <f>L148</f>
        <v>8.86837292</v>
      </c>
    </row>
    <row r="149" spans="4:6" ht="12.75">
      <c r="D149" s="17" t="s">
        <v>653</v>
      </c>
      <c r="F149" s="21">
        <v>214.258</v>
      </c>
    </row>
    <row r="150" spans="4:6" ht="12.75">
      <c r="D150" s="17" t="s">
        <v>654</v>
      </c>
      <c r="F150" s="21">
        <v>72.726</v>
      </c>
    </row>
    <row r="151" spans="4:6" ht="12.75">
      <c r="D151" s="17" t="s">
        <v>655</v>
      </c>
      <c r="F151" s="21">
        <v>29.97</v>
      </c>
    </row>
    <row r="152" spans="4:6" ht="12.75">
      <c r="D152" s="17" t="s">
        <v>656</v>
      </c>
      <c r="F152" s="21">
        <v>0</v>
      </c>
    </row>
    <row r="153" spans="1:48" ht="12.75">
      <c r="A153" s="4" t="s">
        <v>65</v>
      </c>
      <c r="B153" s="4"/>
      <c r="C153" s="4" t="s">
        <v>313</v>
      </c>
      <c r="D153" s="4" t="s">
        <v>657</v>
      </c>
      <c r="E153" s="4" t="s">
        <v>1016</v>
      </c>
      <c r="F153" s="20">
        <v>13.6546</v>
      </c>
      <c r="G153" s="20">
        <v>0</v>
      </c>
      <c r="H153" s="20">
        <f>F153*AE153</f>
        <v>0</v>
      </c>
      <c r="I153" s="20">
        <f>J153-H153</f>
        <v>0</v>
      </c>
      <c r="J153" s="20">
        <f>F153*G153</f>
        <v>0</v>
      </c>
      <c r="K153" s="20">
        <v>0.03491</v>
      </c>
      <c r="L153" s="20">
        <f>F153*K153</f>
        <v>0.47668208599999995</v>
      </c>
      <c r="M153" s="32" t="s">
        <v>1040</v>
      </c>
      <c r="P153" s="36">
        <f>IF(AG153="5",J153,0)</f>
        <v>0</v>
      </c>
      <c r="R153" s="36">
        <f>IF(AG153="1",H153,0)</f>
        <v>0</v>
      </c>
      <c r="S153" s="36">
        <f>IF(AG153="1",I153,0)</f>
        <v>0</v>
      </c>
      <c r="T153" s="36">
        <f>IF(AG153="7",H153,0)</f>
        <v>0</v>
      </c>
      <c r="U153" s="36">
        <f>IF(AG153="7",I153,0)</f>
        <v>0</v>
      </c>
      <c r="V153" s="36">
        <f>IF(AG153="2",H153,0)</f>
        <v>0</v>
      </c>
      <c r="W153" s="36">
        <f>IF(AG153="2",I153,0)</f>
        <v>0</v>
      </c>
      <c r="X153" s="36">
        <f>IF(AG153="0",J153,0)</f>
        <v>0</v>
      </c>
      <c r="Y153" s="29"/>
      <c r="Z153" s="20">
        <f>IF(AD153=0,J153,0)</f>
        <v>0</v>
      </c>
      <c r="AA153" s="20">
        <f>IF(AD153=15,J153,0)</f>
        <v>0</v>
      </c>
      <c r="AB153" s="20">
        <f>IF(AD153=21,J153,0)</f>
        <v>0</v>
      </c>
      <c r="AD153" s="36">
        <v>21</v>
      </c>
      <c r="AE153" s="36">
        <f>G153*0.243557080711971</f>
        <v>0</v>
      </c>
      <c r="AF153" s="36">
        <f>G153*(1-0.243557080711971)</f>
        <v>0</v>
      </c>
      <c r="AG153" s="32" t="s">
        <v>7</v>
      </c>
      <c r="AM153" s="36">
        <f>F153*AE153</f>
        <v>0</v>
      </c>
      <c r="AN153" s="36">
        <f>F153*AF153</f>
        <v>0</v>
      </c>
      <c r="AO153" s="37" t="s">
        <v>1064</v>
      </c>
      <c r="AP153" s="37" t="s">
        <v>1094</v>
      </c>
      <c r="AQ153" s="29" t="s">
        <v>1101</v>
      </c>
      <c r="AS153" s="36">
        <f>AM153+AN153</f>
        <v>0</v>
      </c>
      <c r="AT153" s="36">
        <f>G153/(100-AU153)*100</f>
        <v>0</v>
      </c>
      <c r="AU153" s="36">
        <v>0</v>
      </c>
      <c r="AV153" s="36">
        <f>L153</f>
        <v>0.47668208599999995</v>
      </c>
    </row>
    <row r="154" spans="4:6" ht="12.75">
      <c r="D154" s="17" t="s">
        <v>658</v>
      </c>
      <c r="F154" s="21">
        <v>7.7146</v>
      </c>
    </row>
    <row r="155" spans="4:6" ht="12.75">
      <c r="D155" s="17" t="s">
        <v>659</v>
      </c>
      <c r="F155" s="21">
        <v>5.94</v>
      </c>
    </row>
    <row r="156" spans="3:13" ht="12.75">
      <c r="C156" s="14" t="s">
        <v>255</v>
      </c>
      <c r="D156" s="91" t="s">
        <v>660</v>
      </c>
      <c r="E156" s="92"/>
      <c r="F156" s="92"/>
      <c r="G156" s="92"/>
      <c r="H156" s="92"/>
      <c r="I156" s="92"/>
      <c r="J156" s="92"/>
      <c r="K156" s="92"/>
      <c r="L156" s="92"/>
      <c r="M156" s="92"/>
    </row>
    <row r="157" spans="1:37" ht="12.75">
      <c r="A157" s="5"/>
      <c r="B157" s="13"/>
      <c r="C157" s="13" t="s">
        <v>68</v>
      </c>
      <c r="D157" s="93" t="s">
        <v>661</v>
      </c>
      <c r="E157" s="94"/>
      <c r="F157" s="94"/>
      <c r="G157" s="94"/>
      <c r="H157" s="39">
        <f>SUM(H158:H168)</f>
        <v>0</v>
      </c>
      <c r="I157" s="39">
        <f>SUM(I158:I168)</f>
        <v>0</v>
      </c>
      <c r="J157" s="39">
        <f>H157+I157</f>
        <v>0</v>
      </c>
      <c r="K157" s="29"/>
      <c r="L157" s="39">
        <f>SUM(L158:L168)</f>
        <v>4.178074475000001</v>
      </c>
      <c r="M157" s="29"/>
      <c r="Y157" s="29"/>
      <c r="AI157" s="39">
        <f>SUM(Z158:Z168)</f>
        <v>0</v>
      </c>
      <c r="AJ157" s="39">
        <f>SUM(AA158:AA168)</f>
        <v>0</v>
      </c>
      <c r="AK157" s="39">
        <f>SUM(AB158:AB168)</f>
        <v>0</v>
      </c>
    </row>
    <row r="158" spans="1:48" ht="12.75">
      <c r="A158" s="4" t="s">
        <v>66</v>
      </c>
      <c r="B158" s="4"/>
      <c r="C158" s="4" t="s">
        <v>314</v>
      </c>
      <c r="D158" s="4" t="s">
        <v>662</v>
      </c>
      <c r="E158" s="4" t="s">
        <v>1016</v>
      </c>
      <c r="F158" s="20">
        <v>22.77</v>
      </c>
      <c r="G158" s="20">
        <v>0</v>
      </c>
      <c r="H158" s="20">
        <f>F158*AE158</f>
        <v>0</v>
      </c>
      <c r="I158" s="20">
        <f>J158-H158</f>
        <v>0</v>
      </c>
      <c r="J158" s="20">
        <f>F158*G158</f>
        <v>0</v>
      </c>
      <c r="K158" s="20">
        <v>4E-05</v>
      </c>
      <c r="L158" s="20">
        <f>F158*K158</f>
        <v>0.0009108</v>
      </c>
      <c r="M158" s="32" t="s">
        <v>1040</v>
      </c>
      <c r="P158" s="36">
        <f>IF(AG158="5",J158,0)</f>
        <v>0</v>
      </c>
      <c r="R158" s="36">
        <f>IF(AG158="1",H158,0)</f>
        <v>0</v>
      </c>
      <c r="S158" s="36">
        <f>IF(AG158="1",I158,0)</f>
        <v>0</v>
      </c>
      <c r="T158" s="36">
        <f>IF(AG158="7",H158,0)</f>
        <v>0</v>
      </c>
      <c r="U158" s="36">
        <f>IF(AG158="7",I158,0)</f>
        <v>0</v>
      </c>
      <c r="V158" s="36">
        <f>IF(AG158="2",H158,0)</f>
        <v>0</v>
      </c>
      <c r="W158" s="36">
        <f>IF(AG158="2",I158,0)</f>
        <v>0</v>
      </c>
      <c r="X158" s="36">
        <f>IF(AG158="0",J158,0)</f>
        <v>0</v>
      </c>
      <c r="Y158" s="29"/>
      <c r="Z158" s="20">
        <f>IF(AD158=0,J158,0)</f>
        <v>0</v>
      </c>
      <c r="AA158" s="20">
        <f>IF(AD158=15,J158,0)</f>
        <v>0</v>
      </c>
      <c r="AB158" s="20">
        <f>IF(AD158=21,J158,0)</f>
        <v>0</v>
      </c>
      <c r="AD158" s="36">
        <v>21</v>
      </c>
      <c r="AE158" s="36">
        <f>G158*0.362200579099763</f>
        <v>0</v>
      </c>
      <c r="AF158" s="36">
        <f>G158*(1-0.362200579099763)</f>
        <v>0</v>
      </c>
      <c r="AG158" s="32" t="s">
        <v>7</v>
      </c>
      <c r="AM158" s="36">
        <f>F158*AE158</f>
        <v>0</v>
      </c>
      <c r="AN158" s="36">
        <f>F158*AF158</f>
        <v>0</v>
      </c>
      <c r="AO158" s="37" t="s">
        <v>1065</v>
      </c>
      <c r="AP158" s="37" t="s">
        <v>1094</v>
      </c>
      <c r="AQ158" s="29" t="s">
        <v>1101</v>
      </c>
      <c r="AS158" s="36">
        <f>AM158+AN158</f>
        <v>0</v>
      </c>
      <c r="AT158" s="36">
        <f>G158/(100-AU158)*100</f>
        <v>0</v>
      </c>
      <c r="AU158" s="36">
        <v>0</v>
      </c>
      <c r="AV158" s="36">
        <f>L158</f>
        <v>0.0009108</v>
      </c>
    </row>
    <row r="159" spans="1:48" ht="12.75">
      <c r="A159" s="4" t="s">
        <v>67</v>
      </c>
      <c r="B159" s="4"/>
      <c r="C159" s="4" t="s">
        <v>315</v>
      </c>
      <c r="D159" s="4" t="s">
        <v>663</v>
      </c>
      <c r="E159" s="4" t="s">
        <v>1016</v>
      </c>
      <c r="F159" s="20">
        <v>66.655</v>
      </c>
      <c r="G159" s="20">
        <v>0</v>
      </c>
      <c r="H159" s="20">
        <f>F159*AE159</f>
        <v>0</v>
      </c>
      <c r="I159" s="20">
        <f>J159-H159</f>
        <v>0</v>
      </c>
      <c r="J159" s="20">
        <f>F159*G159</f>
        <v>0</v>
      </c>
      <c r="K159" s="20">
        <v>0.02223</v>
      </c>
      <c r="L159" s="20">
        <f>F159*K159</f>
        <v>1.48174065</v>
      </c>
      <c r="M159" s="32" t="s">
        <v>1040</v>
      </c>
      <c r="P159" s="36">
        <f>IF(AG159="5",J159,0)</f>
        <v>0</v>
      </c>
      <c r="R159" s="36">
        <f>IF(AG159="1",H159,0)</f>
        <v>0</v>
      </c>
      <c r="S159" s="36">
        <f>IF(AG159="1",I159,0)</f>
        <v>0</v>
      </c>
      <c r="T159" s="36">
        <f>IF(AG159="7",H159,0)</f>
        <v>0</v>
      </c>
      <c r="U159" s="36">
        <f>IF(AG159="7",I159,0)</f>
        <v>0</v>
      </c>
      <c r="V159" s="36">
        <f>IF(AG159="2",H159,0)</f>
        <v>0</v>
      </c>
      <c r="W159" s="36">
        <f>IF(AG159="2",I159,0)</f>
        <v>0</v>
      </c>
      <c r="X159" s="36">
        <f>IF(AG159="0",J159,0)</f>
        <v>0</v>
      </c>
      <c r="Y159" s="29"/>
      <c r="Z159" s="20">
        <f>IF(AD159=0,J159,0)</f>
        <v>0</v>
      </c>
      <c r="AA159" s="20">
        <f>IF(AD159=15,J159,0)</f>
        <v>0</v>
      </c>
      <c r="AB159" s="20">
        <f>IF(AD159=21,J159,0)</f>
        <v>0</v>
      </c>
      <c r="AD159" s="36">
        <v>21</v>
      </c>
      <c r="AE159" s="36">
        <f>G159*0.546446601941748</f>
        <v>0</v>
      </c>
      <c r="AF159" s="36">
        <f>G159*(1-0.546446601941748)</f>
        <v>0</v>
      </c>
      <c r="AG159" s="32" t="s">
        <v>7</v>
      </c>
      <c r="AM159" s="36">
        <f>F159*AE159</f>
        <v>0</v>
      </c>
      <c r="AN159" s="36">
        <f>F159*AF159</f>
        <v>0</v>
      </c>
      <c r="AO159" s="37" t="s">
        <v>1065</v>
      </c>
      <c r="AP159" s="37" t="s">
        <v>1094</v>
      </c>
      <c r="AQ159" s="29" t="s">
        <v>1101</v>
      </c>
      <c r="AS159" s="36">
        <f>AM159+AN159</f>
        <v>0</v>
      </c>
      <c r="AT159" s="36">
        <f>G159/(100-AU159)*100</f>
        <v>0</v>
      </c>
      <c r="AU159" s="36">
        <v>0</v>
      </c>
      <c r="AV159" s="36">
        <f>L159</f>
        <v>1.48174065</v>
      </c>
    </row>
    <row r="160" spans="4:6" ht="12.75">
      <c r="D160" s="17" t="s">
        <v>664</v>
      </c>
      <c r="F160" s="21">
        <v>58.988</v>
      </c>
    </row>
    <row r="161" spans="4:6" ht="12.75">
      <c r="D161" s="17" t="s">
        <v>665</v>
      </c>
      <c r="F161" s="21">
        <v>7.667</v>
      </c>
    </row>
    <row r="162" spans="1:48" ht="12.75">
      <c r="A162" s="4" t="s">
        <v>68</v>
      </c>
      <c r="B162" s="4"/>
      <c r="C162" s="4" t="s">
        <v>316</v>
      </c>
      <c r="D162" s="4" t="s">
        <v>666</v>
      </c>
      <c r="E162" s="4" t="s">
        <v>1016</v>
      </c>
      <c r="F162" s="20">
        <v>66.655</v>
      </c>
      <c r="G162" s="20">
        <v>0</v>
      </c>
      <c r="H162" s="20">
        <f>F162*AE162</f>
        <v>0</v>
      </c>
      <c r="I162" s="20">
        <f>J162-H162</f>
        <v>0</v>
      </c>
      <c r="J162" s="20">
        <f>F162*G162</f>
        <v>0</v>
      </c>
      <c r="K162" s="20">
        <v>0.00023</v>
      </c>
      <c r="L162" s="20">
        <f>F162*K162</f>
        <v>0.015330650000000001</v>
      </c>
      <c r="M162" s="32" t="s">
        <v>1040</v>
      </c>
      <c r="P162" s="36">
        <f>IF(AG162="5",J162,0)</f>
        <v>0</v>
      </c>
      <c r="R162" s="36">
        <f>IF(AG162="1",H162,0)</f>
        <v>0</v>
      </c>
      <c r="S162" s="36">
        <f>IF(AG162="1",I162,0)</f>
        <v>0</v>
      </c>
      <c r="T162" s="36">
        <f>IF(AG162="7",H162,0)</f>
        <v>0</v>
      </c>
      <c r="U162" s="36">
        <f>IF(AG162="7",I162,0)</f>
        <v>0</v>
      </c>
      <c r="V162" s="36">
        <f>IF(AG162="2",H162,0)</f>
        <v>0</v>
      </c>
      <c r="W162" s="36">
        <f>IF(AG162="2",I162,0)</f>
        <v>0</v>
      </c>
      <c r="X162" s="36">
        <f>IF(AG162="0",J162,0)</f>
        <v>0</v>
      </c>
      <c r="Y162" s="29"/>
      <c r="Z162" s="20">
        <f>IF(AD162=0,J162,0)</f>
        <v>0</v>
      </c>
      <c r="AA162" s="20">
        <f>IF(AD162=15,J162,0)</f>
        <v>0</v>
      </c>
      <c r="AB162" s="20">
        <f>IF(AD162=21,J162,0)</f>
        <v>0</v>
      </c>
      <c r="AD162" s="36">
        <v>21</v>
      </c>
      <c r="AE162" s="36">
        <f>G162*0.513141683778234</f>
        <v>0</v>
      </c>
      <c r="AF162" s="36">
        <f>G162*(1-0.513141683778234)</f>
        <v>0</v>
      </c>
      <c r="AG162" s="32" t="s">
        <v>7</v>
      </c>
      <c r="AM162" s="36">
        <f>F162*AE162</f>
        <v>0</v>
      </c>
      <c r="AN162" s="36">
        <f>F162*AF162</f>
        <v>0</v>
      </c>
      <c r="AO162" s="37" t="s">
        <v>1065</v>
      </c>
      <c r="AP162" s="37" t="s">
        <v>1094</v>
      </c>
      <c r="AQ162" s="29" t="s">
        <v>1101</v>
      </c>
      <c r="AS162" s="36">
        <f>AM162+AN162</f>
        <v>0</v>
      </c>
      <c r="AT162" s="36">
        <f>G162/(100-AU162)*100</f>
        <v>0</v>
      </c>
      <c r="AU162" s="36">
        <v>0</v>
      </c>
      <c r="AV162" s="36">
        <f>L162</f>
        <v>0.015330650000000001</v>
      </c>
    </row>
    <row r="163" spans="1:48" ht="12.75">
      <c r="A163" s="4" t="s">
        <v>69</v>
      </c>
      <c r="B163" s="4"/>
      <c r="C163" s="4" t="s">
        <v>317</v>
      </c>
      <c r="D163" s="4" t="s">
        <v>667</v>
      </c>
      <c r="E163" s="4" t="s">
        <v>1016</v>
      </c>
      <c r="F163" s="20">
        <v>77.8375</v>
      </c>
      <c r="G163" s="20">
        <v>0</v>
      </c>
      <c r="H163" s="20">
        <f>F163*AE163</f>
        <v>0</v>
      </c>
      <c r="I163" s="20">
        <f>J163-H163</f>
        <v>0</v>
      </c>
      <c r="J163" s="20">
        <f>F163*G163</f>
        <v>0</v>
      </c>
      <c r="K163" s="20">
        <v>0.00367</v>
      </c>
      <c r="L163" s="20">
        <f>F163*K163</f>
        <v>0.28566362500000003</v>
      </c>
      <c r="M163" s="32" t="s">
        <v>1040</v>
      </c>
      <c r="P163" s="36">
        <f>IF(AG163="5",J163,0)</f>
        <v>0</v>
      </c>
      <c r="R163" s="36">
        <f>IF(AG163="1",H163,0)</f>
        <v>0</v>
      </c>
      <c r="S163" s="36">
        <f>IF(AG163="1",I163,0)</f>
        <v>0</v>
      </c>
      <c r="T163" s="36">
        <f>IF(AG163="7",H163,0)</f>
        <v>0</v>
      </c>
      <c r="U163" s="36">
        <f>IF(AG163="7",I163,0)</f>
        <v>0</v>
      </c>
      <c r="V163" s="36">
        <f>IF(AG163="2",H163,0)</f>
        <v>0</v>
      </c>
      <c r="W163" s="36">
        <f>IF(AG163="2",I163,0)</f>
        <v>0</v>
      </c>
      <c r="X163" s="36">
        <f>IF(AG163="0",J163,0)</f>
        <v>0</v>
      </c>
      <c r="Y163" s="29"/>
      <c r="Z163" s="20">
        <f>IF(AD163=0,J163,0)</f>
        <v>0</v>
      </c>
      <c r="AA163" s="20">
        <f>IF(AD163=15,J163,0)</f>
        <v>0</v>
      </c>
      <c r="AB163" s="20">
        <f>IF(AD163=21,J163,0)</f>
        <v>0</v>
      </c>
      <c r="AD163" s="36">
        <v>21</v>
      </c>
      <c r="AE163" s="36">
        <f>G163*0.283412073490814</f>
        <v>0</v>
      </c>
      <c r="AF163" s="36">
        <f>G163*(1-0.283412073490814)</f>
        <v>0</v>
      </c>
      <c r="AG163" s="32" t="s">
        <v>7</v>
      </c>
      <c r="AM163" s="36">
        <f>F163*AE163</f>
        <v>0</v>
      </c>
      <c r="AN163" s="36">
        <f>F163*AF163</f>
        <v>0</v>
      </c>
      <c r="AO163" s="37" t="s">
        <v>1065</v>
      </c>
      <c r="AP163" s="37" t="s">
        <v>1094</v>
      </c>
      <c r="AQ163" s="29" t="s">
        <v>1101</v>
      </c>
      <c r="AS163" s="36">
        <f>AM163+AN163</f>
        <v>0</v>
      </c>
      <c r="AT163" s="36">
        <f>G163/(100-AU163)*100</f>
        <v>0</v>
      </c>
      <c r="AU163" s="36">
        <v>0</v>
      </c>
      <c r="AV163" s="36">
        <f>L163</f>
        <v>0.28566362500000003</v>
      </c>
    </row>
    <row r="164" spans="4:6" ht="12.75">
      <c r="D164" s="17" t="s">
        <v>668</v>
      </c>
      <c r="F164" s="21">
        <v>77.8375</v>
      </c>
    </row>
    <row r="165" spans="3:13" ht="12.75">
      <c r="C165" s="14" t="s">
        <v>255</v>
      </c>
      <c r="D165" s="91" t="s">
        <v>669</v>
      </c>
      <c r="E165" s="92"/>
      <c r="F165" s="92"/>
      <c r="G165" s="92"/>
      <c r="H165" s="92"/>
      <c r="I165" s="92"/>
      <c r="J165" s="92"/>
      <c r="K165" s="92"/>
      <c r="L165" s="92"/>
      <c r="M165" s="92"/>
    </row>
    <row r="166" spans="1:48" ht="12.75">
      <c r="A166" s="4" t="s">
        <v>70</v>
      </c>
      <c r="B166" s="4"/>
      <c r="C166" s="4" t="s">
        <v>318</v>
      </c>
      <c r="D166" s="4" t="s">
        <v>670</v>
      </c>
      <c r="E166" s="4" t="s">
        <v>1016</v>
      </c>
      <c r="F166" s="20">
        <v>66.655</v>
      </c>
      <c r="G166" s="20">
        <v>0</v>
      </c>
      <c r="H166" s="20">
        <f>F166*AE166</f>
        <v>0</v>
      </c>
      <c r="I166" s="20">
        <f>J166-H166</f>
        <v>0</v>
      </c>
      <c r="J166" s="20">
        <f>F166*G166</f>
        <v>0</v>
      </c>
      <c r="K166" s="20">
        <v>0.035</v>
      </c>
      <c r="L166" s="20">
        <f>F166*K166</f>
        <v>2.3329250000000004</v>
      </c>
      <c r="M166" s="32" t="s">
        <v>1040</v>
      </c>
      <c r="P166" s="36">
        <f>IF(AG166="5",J166,0)</f>
        <v>0</v>
      </c>
      <c r="R166" s="36">
        <f>IF(AG166="1",H166,0)</f>
        <v>0</v>
      </c>
      <c r="S166" s="36">
        <f>IF(AG166="1",I166,0)</f>
        <v>0</v>
      </c>
      <c r="T166" s="36">
        <f>IF(AG166="7",H166,0)</f>
        <v>0</v>
      </c>
      <c r="U166" s="36">
        <f>IF(AG166="7",I166,0)</f>
        <v>0</v>
      </c>
      <c r="V166" s="36">
        <f>IF(AG166="2",H166,0)</f>
        <v>0</v>
      </c>
      <c r="W166" s="36">
        <f>IF(AG166="2",I166,0)</f>
        <v>0</v>
      </c>
      <c r="X166" s="36">
        <f>IF(AG166="0",J166,0)</f>
        <v>0</v>
      </c>
      <c r="Y166" s="29"/>
      <c r="Z166" s="20">
        <f>IF(AD166=0,J166,0)</f>
        <v>0</v>
      </c>
      <c r="AA166" s="20">
        <f>IF(AD166=15,J166,0)</f>
        <v>0</v>
      </c>
      <c r="AB166" s="20">
        <f>IF(AD166=21,J166,0)</f>
        <v>0</v>
      </c>
      <c r="AD166" s="36">
        <v>21</v>
      </c>
      <c r="AE166" s="36">
        <f>G166*0.417348837209302</f>
        <v>0</v>
      </c>
      <c r="AF166" s="36">
        <f>G166*(1-0.417348837209302)</f>
        <v>0</v>
      </c>
      <c r="AG166" s="32" t="s">
        <v>7</v>
      </c>
      <c r="AM166" s="36">
        <f>F166*AE166</f>
        <v>0</v>
      </c>
      <c r="AN166" s="36">
        <f>F166*AF166</f>
        <v>0</v>
      </c>
      <c r="AO166" s="37" t="s">
        <v>1065</v>
      </c>
      <c r="AP166" s="37" t="s">
        <v>1094</v>
      </c>
      <c r="AQ166" s="29" t="s">
        <v>1101</v>
      </c>
      <c r="AS166" s="36">
        <f>AM166+AN166</f>
        <v>0</v>
      </c>
      <c r="AT166" s="36">
        <f>G166/(100-AU166)*100</f>
        <v>0</v>
      </c>
      <c r="AU166" s="36">
        <v>0</v>
      </c>
      <c r="AV166" s="36">
        <f>L166</f>
        <v>2.3329250000000004</v>
      </c>
    </row>
    <row r="167" spans="3:13" ht="25.5" customHeight="1">
      <c r="C167" s="14" t="s">
        <v>255</v>
      </c>
      <c r="D167" s="91" t="s">
        <v>671</v>
      </c>
      <c r="E167" s="92"/>
      <c r="F167" s="92"/>
      <c r="G167" s="92"/>
      <c r="H167" s="92"/>
      <c r="I167" s="92"/>
      <c r="J167" s="92"/>
      <c r="K167" s="92"/>
      <c r="L167" s="92"/>
      <c r="M167" s="92"/>
    </row>
    <row r="168" spans="1:48" ht="12.75">
      <c r="A168" s="4" t="s">
        <v>71</v>
      </c>
      <c r="B168" s="4"/>
      <c r="C168" s="4" t="s">
        <v>319</v>
      </c>
      <c r="D168" s="4" t="s">
        <v>672</v>
      </c>
      <c r="E168" s="4" t="s">
        <v>1016</v>
      </c>
      <c r="F168" s="20">
        <v>11.1825</v>
      </c>
      <c r="G168" s="20">
        <v>0</v>
      </c>
      <c r="H168" s="20">
        <f>F168*AE168</f>
        <v>0</v>
      </c>
      <c r="I168" s="20">
        <f>J168-H168</f>
        <v>0</v>
      </c>
      <c r="J168" s="20">
        <f>F168*G168</f>
        <v>0</v>
      </c>
      <c r="K168" s="20">
        <v>0.0055</v>
      </c>
      <c r="L168" s="20">
        <f>F168*K168</f>
        <v>0.06150374999999999</v>
      </c>
      <c r="M168" s="32"/>
      <c r="P168" s="36">
        <f>IF(AG168="5",J168,0)</f>
        <v>0</v>
      </c>
      <c r="R168" s="36">
        <f>IF(AG168="1",H168,0)</f>
        <v>0</v>
      </c>
      <c r="S168" s="36">
        <f>IF(AG168="1",I168,0)</f>
        <v>0</v>
      </c>
      <c r="T168" s="36">
        <f>IF(AG168="7",H168,0)</f>
        <v>0</v>
      </c>
      <c r="U168" s="36">
        <f>IF(AG168="7",I168,0)</f>
        <v>0</v>
      </c>
      <c r="V168" s="36">
        <f>IF(AG168="2",H168,0)</f>
        <v>0</v>
      </c>
      <c r="W168" s="36">
        <f>IF(AG168="2",I168,0)</f>
        <v>0</v>
      </c>
      <c r="X168" s="36">
        <f>IF(AG168="0",J168,0)</f>
        <v>0</v>
      </c>
      <c r="Y168" s="29"/>
      <c r="Z168" s="20">
        <f>IF(AD168=0,J168,0)</f>
        <v>0</v>
      </c>
      <c r="AA168" s="20">
        <f>IF(AD168=15,J168,0)</f>
        <v>0</v>
      </c>
      <c r="AB168" s="20">
        <f>IF(AD168=21,J168,0)</f>
        <v>0</v>
      </c>
      <c r="AD168" s="36">
        <v>21</v>
      </c>
      <c r="AE168" s="36">
        <f>G168*1</f>
        <v>0</v>
      </c>
      <c r="AF168" s="36">
        <f>G168*(1-1)</f>
        <v>0</v>
      </c>
      <c r="AG168" s="32" t="s">
        <v>7</v>
      </c>
      <c r="AM168" s="36">
        <f>F168*AE168</f>
        <v>0</v>
      </c>
      <c r="AN168" s="36">
        <f>F168*AF168</f>
        <v>0</v>
      </c>
      <c r="AO168" s="37" t="s">
        <v>1065</v>
      </c>
      <c r="AP168" s="37" t="s">
        <v>1094</v>
      </c>
      <c r="AQ168" s="29" t="s">
        <v>1101</v>
      </c>
      <c r="AS168" s="36">
        <f>AM168+AN168</f>
        <v>0</v>
      </c>
      <c r="AT168" s="36">
        <f>G168/(100-AU168)*100</f>
        <v>0</v>
      </c>
      <c r="AU168" s="36">
        <v>0</v>
      </c>
      <c r="AV168" s="36">
        <f>L168</f>
        <v>0.06150374999999999</v>
      </c>
    </row>
    <row r="169" spans="4:6" ht="12.75">
      <c r="D169" s="17" t="s">
        <v>673</v>
      </c>
      <c r="F169" s="21">
        <v>11.1825</v>
      </c>
    </row>
    <row r="170" spans="3:13" ht="12.75">
      <c r="C170" s="14" t="s">
        <v>255</v>
      </c>
      <c r="D170" s="91" t="s">
        <v>674</v>
      </c>
      <c r="E170" s="92"/>
      <c r="F170" s="92"/>
      <c r="G170" s="92"/>
      <c r="H170" s="92"/>
      <c r="I170" s="92"/>
      <c r="J170" s="92"/>
      <c r="K170" s="92"/>
      <c r="L170" s="92"/>
      <c r="M170" s="92"/>
    </row>
    <row r="171" spans="1:37" ht="12.75">
      <c r="A171" s="5"/>
      <c r="B171" s="13"/>
      <c r="C171" s="13" t="s">
        <v>69</v>
      </c>
      <c r="D171" s="93" t="s">
        <v>675</v>
      </c>
      <c r="E171" s="94"/>
      <c r="F171" s="94"/>
      <c r="G171" s="94"/>
      <c r="H171" s="39">
        <f>SUM(H172:H191)</f>
        <v>0</v>
      </c>
      <c r="I171" s="39">
        <f>SUM(I172:I191)</f>
        <v>0</v>
      </c>
      <c r="J171" s="39">
        <f>H171+I171</f>
        <v>0</v>
      </c>
      <c r="K171" s="29"/>
      <c r="L171" s="39">
        <f>SUM(L172:L191)</f>
        <v>79.862199875</v>
      </c>
      <c r="M171" s="29"/>
      <c r="Y171" s="29"/>
      <c r="AI171" s="39">
        <f>SUM(Z172:Z191)</f>
        <v>0</v>
      </c>
      <c r="AJ171" s="39">
        <f>SUM(AA172:AA191)</f>
        <v>0</v>
      </c>
      <c r="AK171" s="39">
        <f>SUM(AB172:AB191)</f>
        <v>0</v>
      </c>
    </row>
    <row r="172" spans="1:48" ht="12.75">
      <c r="A172" s="4" t="s">
        <v>72</v>
      </c>
      <c r="B172" s="4"/>
      <c r="C172" s="4" t="s">
        <v>320</v>
      </c>
      <c r="D172" s="4" t="s">
        <v>676</v>
      </c>
      <c r="E172" s="4" t="s">
        <v>1016</v>
      </c>
      <c r="F172" s="20">
        <v>1.92</v>
      </c>
      <c r="G172" s="20">
        <v>0</v>
      </c>
      <c r="H172" s="20">
        <f>F172*AE172</f>
        <v>0</v>
      </c>
      <c r="I172" s="20">
        <f>J172-H172</f>
        <v>0</v>
      </c>
      <c r="J172" s="20">
        <f>F172*G172</f>
        <v>0</v>
      </c>
      <c r="K172" s="20">
        <v>0.07426</v>
      </c>
      <c r="L172" s="20">
        <f>F172*K172</f>
        <v>0.14257920000000002</v>
      </c>
      <c r="M172" s="32" t="s">
        <v>1040</v>
      </c>
      <c r="P172" s="36">
        <f>IF(AG172="5",J172,0)</f>
        <v>0</v>
      </c>
      <c r="R172" s="36">
        <f>IF(AG172="1",H172,0)</f>
        <v>0</v>
      </c>
      <c r="S172" s="36">
        <f>IF(AG172="1",I172,0)</f>
        <v>0</v>
      </c>
      <c r="T172" s="36">
        <f>IF(AG172="7",H172,0)</f>
        <v>0</v>
      </c>
      <c r="U172" s="36">
        <f>IF(AG172="7",I172,0)</f>
        <v>0</v>
      </c>
      <c r="V172" s="36">
        <f>IF(AG172="2",H172,0)</f>
        <v>0</v>
      </c>
      <c r="W172" s="36">
        <f>IF(AG172="2",I172,0)</f>
        <v>0</v>
      </c>
      <c r="X172" s="36">
        <f>IF(AG172="0",J172,0)</f>
        <v>0</v>
      </c>
      <c r="Y172" s="29"/>
      <c r="Z172" s="20">
        <f>IF(AD172=0,J172,0)</f>
        <v>0</v>
      </c>
      <c r="AA172" s="20">
        <f>IF(AD172=15,J172,0)</f>
        <v>0</v>
      </c>
      <c r="AB172" s="20">
        <f>IF(AD172=21,J172,0)</f>
        <v>0</v>
      </c>
      <c r="AD172" s="36">
        <v>21</v>
      </c>
      <c r="AE172" s="36">
        <f>G172*0.408919540229885</f>
        <v>0</v>
      </c>
      <c r="AF172" s="36">
        <f>G172*(1-0.408919540229885)</f>
        <v>0</v>
      </c>
      <c r="AG172" s="32" t="s">
        <v>7</v>
      </c>
      <c r="AM172" s="36">
        <f>F172*AE172</f>
        <v>0</v>
      </c>
      <c r="AN172" s="36">
        <f>F172*AF172</f>
        <v>0</v>
      </c>
      <c r="AO172" s="37" t="s">
        <v>1066</v>
      </c>
      <c r="AP172" s="37" t="s">
        <v>1094</v>
      </c>
      <c r="AQ172" s="29" t="s">
        <v>1101</v>
      </c>
      <c r="AS172" s="36">
        <f>AM172+AN172</f>
        <v>0</v>
      </c>
      <c r="AT172" s="36">
        <f>G172/(100-AU172)*100</f>
        <v>0</v>
      </c>
      <c r="AU172" s="36">
        <v>0</v>
      </c>
      <c r="AV172" s="36">
        <f>L172</f>
        <v>0.14257920000000002</v>
      </c>
    </row>
    <row r="173" spans="4:6" ht="12.75">
      <c r="D173" s="17" t="s">
        <v>677</v>
      </c>
      <c r="F173" s="21">
        <v>1.92</v>
      </c>
    </row>
    <row r="174" spans="3:13" ht="12.75">
      <c r="C174" s="14" t="s">
        <v>255</v>
      </c>
      <c r="D174" s="91" t="s">
        <v>678</v>
      </c>
      <c r="E174" s="92"/>
      <c r="F174" s="92"/>
      <c r="G174" s="92"/>
      <c r="H174" s="92"/>
      <c r="I174" s="92"/>
      <c r="J174" s="92"/>
      <c r="K174" s="92"/>
      <c r="L174" s="92"/>
      <c r="M174" s="92"/>
    </row>
    <row r="175" spans="1:48" ht="12.75">
      <c r="A175" s="4" t="s">
        <v>73</v>
      </c>
      <c r="B175" s="4"/>
      <c r="C175" s="4" t="s">
        <v>321</v>
      </c>
      <c r="D175" s="4" t="s">
        <v>679</v>
      </c>
      <c r="E175" s="4" t="s">
        <v>1014</v>
      </c>
      <c r="F175" s="20">
        <v>22.359</v>
      </c>
      <c r="G175" s="20">
        <v>0</v>
      </c>
      <c r="H175" s="20">
        <f>F175*AE175</f>
        <v>0</v>
      </c>
      <c r="I175" s="20">
        <f>J175-H175</f>
        <v>0</v>
      </c>
      <c r="J175" s="20">
        <f>F175*G175</f>
        <v>0</v>
      </c>
      <c r="K175" s="20">
        <v>2.525</v>
      </c>
      <c r="L175" s="20">
        <f>F175*K175</f>
        <v>56.456475000000005</v>
      </c>
      <c r="M175" s="32" t="s">
        <v>1040</v>
      </c>
      <c r="P175" s="36">
        <f>IF(AG175="5",J175,0)</f>
        <v>0</v>
      </c>
      <c r="R175" s="36">
        <f>IF(AG175="1",H175,0)</f>
        <v>0</v>
      </c>
      <c r="S175" s="36">
        <f>IF(AG175="1",I175,0)</f>
        <v>0</v>
      </c>
      <c r="T175" s="36">
        <f>IF(AG175="7",H175,0)</f>
        <v>0</v>
      </c>
      <c r="U175" s="36">
        <f>IF(AG175="7",I175,0)</f>
        <v>0</v>
      </c>
      <c r="V175" s="36">
        <f>IF(AG175="2",H175,0)</f>
        <v>0</v>
      </c>
      <c r="W175" s="36">
        <f>IF(AG175="2",I175,0)</f>
        <v>0</v>
      </c>
      <c r="X175" s="36">
        <f>IF(AG175="0",J175,0)</f>
        <v>0</v>
      </c>
      <c r="Y175" s="29"/>
      <c r="Z175" s="20">
        <f>IF(AD175=0,J175,0)</f>
        <v>0</v>
      </c>
      <c r="AA175" s="20">
        <f>IF(AD175=15,J175,0)</f>
        <v>0</v>
      </c>
      <c r="AB175" s="20">
        <f>IF(AD175=21,J175,0)</f>
        <v>0</v>
      </c>
      <c r="AD175" s="36">
        <v>21</v>
      </c>
      <c r="AE175" s="36">
        <f>G175*0.759014388489208</f>
        <v>0</v>
      </c>
      <c r="AF175" s="36">
        <f>G175*(1-0.759014388489208)</f>
        <v>0</v>
      </c>
      <c r="AG175" s="32" t="s">
        <v>7</v>
      </c>
      <c r="AM175" s="36">
        <f>F175*AE175</f>
        <v>0</v>
      </c>
      <c r="AN175" s="36">
        <f>F175*AF175</f>
        <v>0</v>
      </c>
      <c r="AO175" s="37" t="s">
        <v>1066</v>
      </c>
      <c r="AP175" s="37" t="s">
        <v>1094</v>
      </c>
      <c r="AQ175" s="29" t="s">
        <v>1101</v>
      </c>
      <c r="AS175" s="36">
        <f>AM175+AN175</f>
        <v>0</v>
      </c>
      <c r="AT175" s="36">
        <f>G175/(100-AU175)*100</f>
        <v>0</v>
      </c>
      <c r="AU175" s="36">
        <v>0</v>
      </c>
      <c r="AV175" s="36">
        <f>L175</f>
        <v>56.456475000000005</v>
      </c>
    </row>
    <row r="176" spans="4:6" ht="12.75">
      <c r="D176" s="17" t="s">
        <v>680</v>
      </c>
      <c r="F176" s="21">
        <v>22.359</v>
      </c>
    </row>
    <row r="177" spans="1:48" ht="12.75">
      <c r="A177" s="4" t="s">
        <v>74</v>
      </c>
      <c r="B177" s="4"/>
      <c r="C177" s="4" t="s">
        <v>322</v>
      </c>
      <c r="D177" s="4" t="s">
        <v>681</v>
      </c>
      <c r="E177" s="4" t="s">
        <v>1014</v>
      </c>
      <c r="F177" s="20">
        <v>7.47315</v>
      </c>
      <c r="G177" s="20">
        <v>0</v>
      </c>
      <c r="H177" s="20">
        <f>F177*AE177</f>
        <v>0</v>
      </c>
      <c r="I177" s="20">
        <f>J177-H177</f>
        <v>0</v>
      </c>
      <c r="J177" s="20">
        <f>F177*G177</f>
        <v>0</v>
      </c>
      <c r="K177" s="20">
        <v>2.525</v>
      </c>
      <c r="L177" s="20">
        <f>F177*K177</f>
        <v>18.86970375</v>
      </c>
      <c r="M177" s="32" t="s">
        <v>1040</v>
      </c>
      <c r="P177" s="36">
        <f>IF(AG177="5",J177,0)</f>
        <v>0</v>
      </c>
      <c r="R177" s="36">
        <f>IF(AG177="1",H177,0)</f>
        <v>0</v>
      </c>
      <c r="S177" s="36">
        <f>IF(AG177="1",I177,0)</f>
        <v>0</v>
      </c>
      <c r="T177" s="36">
        <f>IF(AG177="7",H177,0)</f>
        <v>0</v>
      </c>
      <c r="U177" s="36">
        <f>IF(AG177="7",I177,0)</f>
        <v>0</v>
      </c>
      <c r="V177" s="36">
        <f>IF(AG177="2",H177,0)</f>
        <v>0</v>
      </c>
      <c r="W177" s="36">
        <f>IF(AG177="2",I177,0)</f>
        <v>0</v>
      </c>
      <c r="X177" s="36">
        <f>IF(AG177="0",J177,0)</f>
        <v>0</v>
      </c>
      <c r="Y177" s="29"/>
      <c r="Z177" s="20">
        <f>IF(AD177=0,J177,0)</f>
        <v>0</v>
      </c>
      <c r="AA177" s="20">
        <f>IF(AD177=15,J177,0)</f>
        <v>0</v>
      </c>
      <c r="AB177" s="20">
        <f>IF(AD177=21,J177,0)</f>
        <v>0</v>
      </c>
      <c r="AD177" s="36">
        <v>21</v>
      </c>
      <c r="AE177" s="36">
        <f>G177*0.689334437086093</f>
        <v>0</v>
      </c>
      <c r="AF177" s="36">
        <f>G177*(1-0.689334437086093)</f>
        <v>0</v>
      </c>
      <c r="AG177" s="32" t="s">
        <v>7</v>
      </c>
      <c r="AM177" s="36">
        <f>F177*AE177</f>
        <v>0</v>
      </c>
      <c r="AN177" s="36">
        <f>F177*AF177</f>
        <v>0</v>
      </c>
      <c r="AO177" s="37" t="s">
        <v>1066</v>
      </c>
      <c r="AP177" s="37" t="s">
        <v>1094</v>
      </c>
      <c r="AQ177" s="29" t="s">
        <v>1101</v>
      </c>
      <c r="AS177" s="36">
        <f>AM177+AN177</f>
        <v>0</v>
      </c>
      <c r="AT177" s="36">
        <f>G177/(100-AU177)*100</f>
        <v>0</v>
      </c>
      <c r="AU177" s="36">
        <v>0</v>
      </c>
      <c r="AV177" s="36">
        <f>L177</f>
        <v>18.86970375</v>
      </c>
    </row>
    <row r="178" spans="4:6" ht="12.75">
      <c r="D178" s="17" t="s">
        <v>682</v>
      </c>
      <c r="F178" s="21">
        <v>7.47315</v>
      </c>
    </row>
    <row r="179" spans="1:48" ht="12.75">
      <c r="A179" s="4" t="s">
        <v>75</v>
      </c>
      <c r="B179" s="4"/>
      <c r="C179" s="4" t="s">
        <v>323</v>
      </c>
      <c r="D179" s="4" t="s">
        <v>683</v>
      </c>
      <c r="E179" s="4" t="s">
        <v>1014</v>
      </c>
      <c r="F179" s="20">
        <v>22.359</v>
      </c>
      <c r="G179" s="20">
        <v>0</v>
      </c>
      <c r="H179" s="20">
        <f>F179*AE179</f>
        <v>0</v>
      </c>
      <c r="I179" s="20">
        <f>J179-H179</f>
        <v>0</v>
      </c>
      <c r="J179" s="20">
        <f>F179*G179</f>
        <v>0</v>
      </c>
      <c r="K179" s="20">
        <v>0</v>
      </c>
      <c r="L179" s="20">
        <f>F179*K179</f>
        <v>0</v>
      </c>
      <c r="M179" s="32" t="s">
        <v>1040</v>
      </c>
      <c r="P179" s="36">
        <f>IF(AG179="5",J179,0)</f>
        <v>0</v>
      </c>
      <c r="R179" s="36">
        <f>IF(AG179="1",H179,0)</f>
        <v>0</v>
      </c>
      <c r="S179" s="36">
        <f>IF(AG179="1",I179,0)</f>
        <v>0</v>
      </c>
      <c r="T179" s="36">
        <f>IF(AG179="7",H179,0)</f>
        <v>0</v>
      </c>
      <c r="U179" s="36">
        <f>IF(AG179="7",I179,0)</f>
        <v>0</v>
      </c>
      <c r="V179" s="36">
        <f>IF(AG179="2",H179,0)</f>
        <v>0</v>
      </c>
      <c r="W179" s="36">
        <f>IF(AG179="2",I179,0)</f>
        <v>0</v>
      </c>
      <c r="X179" s="36">
        <f>IF(AG179="0",J179,0)</f>
        <v>0</v>
      </c>
      <c r="Y179" s="29"/>
      <c r="Z179" s="20">
        <f>IF(AD179=0,J179,0)</f>
        <v>0</v>
      </c>
      <c r="AA179" s="20">
        <f>IF(AD179=15,J179,0)</f>
        <v>0</v>
      </c>
      <c r="AB179" s="20">
        <f>IF(AD179=21,J179,0)</f>
        <v>0</v>
      </c>
      <c r="AD179" s="36">
        <v>21</v>
      </c>
      <c r="AE179" s="36">
        <f>G179*0</f>
        <v>0</v>
      </c>
      <c r="AF179" s="36">
        <f>G179*(1-0)</f>
        <v>0</v>
      </c>
      <c r="AG179" s="32" t="s">
        <v>7</v>
      </c>
      <c r="AM179" s="36">
        <f>F179*AE179</f>
        <v>0</v>
      </c>
      <c r="AN179" s="36">
        <f>F179*AF179</f>
        <v>0</v>
      </c>
      <c r="AO179" s="37" t="s">
        <v>1066</v>
      </c>
      <c r="AP179" s="37" t="s">
        <v>1094</v>
      </c>
      <c r="AQ179" s="29" t="s">
        <v>1101</v>
      </c>
      <c r="AS179" s="36">
        <f>AM179+AN179</f>
        <v>0</v>
      </c>
      <c r="AT179" s="36">
        <f>G179/(100-AU179)*100</f>
        <v>0</v>
      </c>
      <c r="AU179" s="36">
        <v>0</v>
      </c>
      <c r="AV179" s="36">
        <f>L179</f>
        <v>0</v>
      </c>
    </row>
    <row r="180" spans="1:48" ht="12.75">
      <c r="A180" s="4" t="s">
        <v>76</v>
      </c>
      <c r="B180" s="4"/>
      <c r="C180" s="4" t="s">
        <v>324</v>
      </c>
      <c r="D180" s="4" t="s">
        <v>684</v>
      </c>
      <c r="E180" s="4" t="s">
        <v>1014</v>
      </c>
      <c r="F180" s="20">
        <v>7.47315</v>
      </c>
      <c r="G180" s="20">
        <v>0</v>
      </c>
      <c r="H180" s="20">
        <f>F180*AE180</f>
        <v>0</v>
      </c>
      <c r="I180" s="20">
        <f>J180-H180</f>
        <v>0</v>
      </c>
      <c r="J180" s="20">
        <f>F180*G180</f>
        <v>0</v>
      </c>
      <c r="K180" s="20">
        <v>0</v>
      </c>
      <c r="L180" s="20">
        <f>F180*K180</f>
        <v>0</v>
      </c>
      <c r="M180" s="32" t="s">
        <v>1040</v>
      </c>
      <c r="P180" s="36">
        <f>IF(AG180="5",J180,0)</f>
        <v>0</v>
      </c>
      <c r="R180" s="36">
        <f>IF(AG180="1",H180,0)</f>
        <v>0</v>
      </c>
      <c r="S180" s="36">
        <f>IF(AG180="1",I180,0)</f>
        <v>0</v>
      </c>
      <c r="T180" s="36">
        <f>IF(AG180="7",H180,0)</f>
        <v>0</v>
      </c>
      <c r="U180" s="36">
        <f>IF(AG180="7",I180,0)</f>
        <v>0</v>
      </c>
      <c r="V180" s="36">
        <f>IF(AG180="2",H180,0)</f>
        <v>0</v>
      </c>
      <c r="W180" s="36">
        <f>IF(AG180="2",I180,0)</f>
        <v>0</v>
      </c>
      <c r="X180" s="36">
        <f>IF(AG180="0",J180,0)</f>
        <v>0</v>
      </c>
      <c r="Y180" s="29"/>
      <c r="Z180" s="20">
        <f>IF(AD180=0,J180,0)</f>
        <v>0</v>
      </c>
      <c r="AA180" s="20">
        <f>IF(AD180=15,J180,0)</f>
        <v>0</v>
      </c>
      <c r="AB180" s="20">
        <f>IF(AD180=21,J180,0)</f>
        <v>0</v>
      </c>
      <c r="AD180" s="36">
        <v>21</v>
      </c>
      <c r="AE180" s="36">
        <f>G180*0</f>
        <v>0</v>
      </c>
      <c r="AF180" s="36">
        <f>G180*(1-0)</f>
        <v>0</v>
      </c>
      <c r="AG180" s="32" t="s">
        <v>7</v>
      </c>
      <c r="AM180" s="36">
        <f>F180*AE180</f>
        <v>0</v>
      </c>
      <c r="AN180" s="36">
        <f>F180*AF180</f>
        <v>0</v>
      </c>
      <c r="AO180" s="37" t="s">
        <v>1066</v>
      </c>
      <c r="AP180" s="37" t="s">
        <v>1094</v>
      </c>
      <c r="AQ180" s="29" t="s">
        <v>1101</v>
      </c>
      <c r="AS180" s="36">
        <f>AM180+AN180</f>
        <v>0</v>
      </c>
      <c r="AT180" s="36">
        <f>G180/(100-AU180)*100</f>
        <v>0</v>
      </c>
      <c r="AU180" s="36">
        <v>0</v>
      </c>
      <c r="AV180" s="36">
        <f>L180</f>
        <v>0</v>
      </c>
    </row>
    <row r="181" spans="1:48" ht="12.75">
      <c r="A181" s="4" t="s">
        <v>77</v>
      </c>
      <c r="B181" s="4"/>
      <c r="C181" s="4" t="s">
        <v>325</v>
      </c>
      <c r="D181" s="4" t="s">
        <v>685</v>
      </c>
      <c r="E181" s="4" t="s">
        <v>1015</v>
      </c>
      <c r="F181" s="20">
        <v>1.04439</v>
      </c>
      <c r="G181" s="20">
        <v>0</v>
      </c>
      <c r="H181" s="20">
        <f>F181*AE181</f>
        <v>0</v>
      </c>
      <c r="I181" s="20">
        <f>J181-H181</f>
        <v>0</v>
      </c>
      <c r="J181" s="20">
        <f>F181*G181</f>
        <v>0</v>
      </c>
      <c r="K181" s="20">
        <v>1.06625</v>
      </c>
      <c r="L181" s="20">
        <f>F181*K181</f>
        <v>1.1135808374999998</v>
      </c>
      <c r="M181" s="32" t="s">
        <v>1040</v>
      </c>
      <c r="P181" s="36">
        <f>IF(AG181="5",J181,0)</f>
        <v>0</v>
      </c>
      <c r="R181" s="36">
        <f>IF(AG181="1",H181,0)</f>
        <v>0</v>
      </c>
      <c r="S181" s="36">
        <f>IF(AG181="1",I181,0)</f>
        <v>0</v>
      </c>
      <c r="T181" s="36">
        <f>IF(AG181="7",H181,0)</f>
        <v>0</v>
      </c>
      <c r="U181" s="36">
        <f>IF(AG181="7",I181,0)</f>
        <v>0</v>
      </c>
      <c r="V181" s="36">
        <f>IF(AG181="2",H181,0)</f>
        <v>0</v>
      </c>
      <c r="W181" s="36">
        <f>IF(AG181="2",I181,0)</f>
        <v>0</v>
      </c>
      <c r="X181" s="36">
        <f>IF(AG181="0",J181,0)</f>
        <v>0</v>
      </c>
      <c r="Y181" s="29"/>
      <c r="Z181" s="20">
        <f>IF(AD181=0,J181,0)</f>
        <v>0</v>
      </c>
      <c r="AA181" s="20">
        <f>IF(AD181=15,J181,0)</f>
        <v>0</v>
      </c>
      <c r="AB181" s="20">
        <f>IF(AD181=21,J181,0)</f>
        <v>0</v>
      </c>
      <c r="AD181" s="36">
        <v>21</v>
      </c>
      <c r="AE181" s="36">
        <f>G181*0.814255109231853</f>
        <v>0</v>
      </c>
      <c r="AF181" s="36">
        <f>G181*(1-0.814255109231853)</f>
        <v>0</v>
      </c>
      <c r="AG181" s="32" t="s">
        <v>7</v>
      </c>
      <c r="AM181" s="36">
        <f>F181*AE181</f>
        <v>0</v>
      </c>
      <c r="AN181" s="36">
        <f>F181*AF181</f>
        <v>0</v>
      </c>
      <c r="AO181" s="37" t="s">
        <v>1066</v>
      </c>
      <c r="AP181" s="37" t="s">
        <v>1094</v>
      </c>
      <c r="AQ181" s="29" t="s">
        <v>1101</v>
      </c>
      <c r="AS181" s="36">
        <f>AM181+AN181</f>
        <v>0</v>
      </c>
      <c r="AT181" s="36">
        <f>G181/(100-AU181)*100</f>
        <v>0</v>
      </c>
      <c r="AU181" s="36">
        <v>0</v>
      </c>
      <c r="AV181" s="36">
        <f>L181</f>
        <v>1.1135808374999998</v>
      </c>
    </row>
    <row r="182" spans="4:6" ht="12.75">
      <c r="D182" s="17" t="s">
        <v>686</v>
      </c>
      <c r="F182" s="21">
        <v>1.04439</v>
      </c>
    </row>
    <row r="183" spans="3:13" ht="12.75">
      <c r="C183" s="14" t="s">
        <v>255</v>
      </c>
      <c r="D183" s="91" t="s">
        <v>687</v>
      </c>
      <c r="E183" s="92"/>
      <c r="F183" s="92"/>
      <c r="G183" s="92"/>
      <c r="H183" s="92"/>
      <c r="I183" s="92"/>
      <c r="J183" s="92"/>
      <c r="K183" s="92"/>
      <c r="L183" s="92"/>
      <c r="M183" s="92"/>
    </row>
    <row r="184" spans="1:48" ht="12.75">
      <c r="A184" s="4" t="s">
        <v>78</v>
      </c>
      <c r="B184" s="4"/>
      <c r="C184" s="4" t="s">
        <v>326</v>
      </c>
      <c r="D184" s="4" t="s">
        <v>685</v>
      </c>
      <c r="E184" s="4" t="s">
        <v>1015</v>
      </c>
      <c r="F184" s="20">
        <v>0.73979</v>
      </c>
      <c r="G184" s="20">
        <v>0</v>
      </c>
      <c r="H184" s="20">
        <f>F184*AE184</f>
        <v>0</v>
      </c>
      <c r="I184" s="20">
        <f>J184-H184</f>
        <v>0</v>
      </c>
      <c r="J184" s="20">
        <f>F184*G184</f>
        <v>0</v>
      </c>
      <c r="K184" s="20">
        <v>1.06625</v>
      </c>
      <c r="L184" s="20">
        <f>F184*K184</f>
        <v>0.7888010874999999</v>
      </c>
      <c r="M184" s="32" t="s">
        <v>1040</v>
      </c>
      <c r="P184" s="36">
        <f>IF(AG184="5",J184,0)</f>
        <v>0</v>
      </c>
      <c r="R184" s="36">
        <f>IF(AG184="1",H184,0)</f>
        <v>0</v>
      </c>
      <c r="S184" s="36">
        <f>IF(AG184="1",I184,0)</f>
        <v>0</v>
      </c>
      <c r="T184" s="36">
        <f>IF(AG184="7",H184,0)</f>
        <v>0</v>
      </c>
      <c r="U184" s="36">
        <f>IF(AG184="7",I184,0)</f>
        <v>0</v>
      </c>
      <c r="V184" s="36">
        <f>IF(AG184="2",H184,0)</f>
        <v>0</v>
      </c>
      <c r="W184" s="36">
        <f>IF(AG184="2",I184,0)</f>
        <v>0</v>
      </c>
      <c r="X184" s="36">
        <f>IF(AG184="0",J184,0)</f>
        <v>0</v>
      </c>
      <c r="Y184" s="29"/>
      <c r="Z184" s="20">
        <f>IF(AD184=0,J184,0)</f>
        <v>0</v>
      </c>
      <c r="AA184" s="20">
        <f>IF(AD184=15,J184,0)</f>
        <v>0</v>
      </c>
      <c r="AB184" s="20">
        <f>IF(AD184=21,J184,0)</f>
        <v>0</v>
      </c>
      <c r="AD184" s="36">
        <v>21</v>
      </c>
      <c r="AE184" s="36">
        <f>G184*0.813861581920904</f>
        <v>0</v>
      </c>
      <c r="AF184" s="36">
        <f>G184*(1-0.813861581920904)</f>
        <v>0</v>
      </c>
      <c r="AG184" s="32" t="s">
        <v>7</v>
      </c>
      <c r="AM184" s="36">
        <f>F184*AE184</f>
        <v>0</v>
      </c>
      <c r="AN184" s="36">
        <f>F184*AF184</f>
        <v>0</v>
      </c>
      <c r="AO184" s="37" t="s">
        <v>1066</v>
      </c>
      <c r="AP184" s="37" t="s">
        <v>1094</v>
      </c>
      <c r="AQ184" s="29" t="s">
        <v>1101</v>
      </c>
      <c r="AS184" s="36">
        <f>AM184+AN184</f>
        <v>0</v>
      </c>
      <c r="AT184" s="36">
        <f>G184/(100-AU184)*100</f>
        <v>0</v>
      </c>
      <c r="AU184" s="36">
        <v>0</v>
      </c>
      <c r="AV184" s="36">
        <f>L184</f>
        <v>0.7888010874999999</v>
      </c>
    </row>
    <row r="185" spans="4:6" ht="12.75">
      <c r="D185" s="17" t="s">
        <v>688</v>
      </c>
      <c r="F185" s="21">
        <v>0.44399</v>
      </c>
    </row>
    <row r="186" spans="4:6" ht="12.75">
      <c r="D186" s="17" t="s">
        <v>689</v>
      </c>
      <c r="F186" s="21">
        <v>0.2958</v>
      </c>
    </row>
    <row r="187" spans="3:13" ht="25.5" customHeight="1">
      <c r="C187" s="14" t="s">
        <v>255</v>
      </c>
      <c r="D187" s="91" t="s">
        <v>690</v>
      </c>
      <c r="E187" s="92"/>
      <c r="F187" s="92"/>
      <c r="G187" s="92"/>
      <c r="H187" s="92"/>
      <c r="I187" s="92"/>
      <c r="J187" s="92"/>
      <c r="K187" s="92"/>
      <c r="L187" s="92"/>
      <c r="M187" s="92"/>
    </row>
    <row r="188" spans="1:48" ht="12.75">
      <c r="A188" s="4" t="s">
        <v>79</v>
      </c>
      <c r="B188" s="4"/>
      <c r="C188" s="4" t="s">
        <v>327</v>
      </c>
      <c r="D188" s="4" t="s">
        <v>691</v>
      </c>
      <c r="E188" s="4" t="s">
        <v>1014</v>
      </c>
      <c r="F188" s="20">
        <v>1.24553</v>
      </c>
      <c r="G188" s="20">
        <v>0</v>
      </c>
      <c r="H188" s="20">
        <f>F188*AE188</f>
        <v>0</v>
      </c>
      <c r="I188" s="20">
        <f>J188-H188</f>
        <v>0</v>
      </c>
      <c r="J188" s="20">
        <f>F188*G188</f>
        <v>0</v>
      </c>
      <c r="K188" s="20">
        <v>0</v>
      </c>
      <c r="L188" s="20">
        <f>F188*K188</f>
        <v>0</v>
      </c>
      <c r="M188" s="32" t="s">
        <v>1040</v>
      </c>
      <c r="P188" s="36">
        <f>IF(AG188="5",J188,0)</f>
        <v>0</v>
      </c>
      <c r="R188" s="36">
        <f>IF(AG188="1",H188,0)</f>
        <v>0</v>
      </c>
      <c r="S188" s="36">
        <f>IF(AG188="1",I188,0)</f>
        <v>0</v>
      </c>
      <c r="T188" s="36">
        <f>IF(AG188="7",H188,0)</f>
        <v>0</v>
      </c>
      <c r="U188" s="36">
        <f>IF(AG188="7",I188,0)</f>
        <v>0</v>
      </c>
      <c r="V188" s="36">
        <f>IF(AG188="2",H188,0)</f>
        <v>0</v>
      </c>
      <c r="W188" s="36">
        <f>IF(AG188="2",I188,0)</f>
        <v>0</v>
      </c>
      <c r="X188" s="36">
        <f>IF(AG188="0",J188,0)</f>
        <v>0</v>
      </c>
      <c r="Y188" s="29"/>
      <c r="Z188" s="20">
        <f>IF(AD188=0,J188,0)</f>
        <v>0</v>
      </c>
      <c r="AA188" s="20">
        <f>IF(AD188=15,J188,0)</f>
        <v>0</v>
      </c>
      <c r="AB188" s="20">
        <f>IF(AD188=21,J188,0)</f>
        <v>0</v>
      </c>
      <c r="AD188" s="36">
        <v>21</v>
      </c>
      <c r="AE188" s="36">
        <f>G188*0</f>
        <v>0</v>
      </c>
      <c r="AF188" s="36">
        <f>G188*(1-0)</f>
        <v>0</v>
      </c>
      <c r="AG188" s="32" t="s">
        <v>7</v>
      </c>
      <c r="AM188" s="36">
        <f>F188*AE188</f>
        <v>0</v>
      </c>
      <c r="AN188" s="36">
        <f>F188*AF188</f>
        <v>0</v>
      </c>
      <c r="AO188" s="37" t="s">
        <v>1066</v>
      </c>
      <c r="AP188" s="37" t="s">
        <v>1094</v>
      </c>
      <c r="AQ188" s="29" t="s">
        <v>1101</v>
      </c>
      <c r="AS188" s="36">
        <f>AM188+AN188</f>
        <v>0</v>
      </c>
      <c r="AT188" s="36">
        <f>G188/(100-AU188)*100</f>
        <v>0</v>
      </c>
      <c r="AU188" s="36">
        <v>0</v>
      </c>
      <c r="AV188" s="36">
        <f>L188</f>
        <v>0</v>
      </c>
    </row>
    <row r="189" spans="4:6" ht="12.75">
      <c r="D189" s="17" t="s">
        <v>692</v>
      </c>
      <c r="F189" s="21">
        <v>1.24553</v>
      </c>
    </row>
    <row r="190" spans="3:13" ht="12.75">
      <c r="C190" s="14" t="s">
        <v>255</v>
      </c>
      <c r="D190" s="91" t="s">
        <v>693</v>
      </c>
      <c r="E190" s="92"/>
      <c r="F190" s="92"/>
      <c r="G190" s="92"/>
      <c r="H190" s="92"/>
      <c r="I190" s="92"/>
      <c r="J190" s="92"/>
      <c r="K190" s="92"/>
      <c r="L190" s="92"/>
      <c r="M190" s="92"/>
    </row>
    <row r="191" spans="1:48" ht="12.75">
      <c r="A191" s="6" t="s">
        <v>80</v>
      </c>
      <c r="B191" s="6"/>
      <c r="C191" s="6" t="s">
        <v>328</v>
      </c>
      <c r="D191" s="6" t="s">
        <v>694</v>
      </c>
      <c r="E191" s="6" t="s">
        <v>1015</v>
      </c>
      <c r="F191" s="22">
        <v>2.49106</v>
      </c>
      <c r="G191" s="22">
        <v>0</v>
      </c>
      <c r="H191" s="22">
        <f>F191*AE191</f>
        <v>0</v>
      </c>
      <c r="I191" s="22">
        <f>J191-H191</f>
        <v>0</v>
      </c>
      <c r="J191" s="22">
        <f>F191*G191</f>
        <v>0</v>
      </c>
      <c r="K191" s="22">
        <v>1</v>
      </c>
      <c r="L191" s="22">
        <f>F191*K191</f>
        <v>2.49106</v>
      </c>
      <c r="M191" s="33" t="s">
        <v>1040</v>
      </c>
      <c r="P191" s="36">
        <f>IF(AG191="5",J191,0)</f>
        <v>0</v>
      </c>
      <c r="R191" s="36">
        <f>IF(AG191="1",H191,0)</f>
        <v>0</v>
      </c>
      <c r="S191" s="36">
        <f>IF(AG191="1",I191,0)</f>
        <v>0</v>
      </c>
      <c r="T191" s="36">
        <f>IF(AG191="7",H191,0)</f>
        <v>0</v>
      </c>
      <c r="U191" s="36">
        <f>IF(AG191="7",I191,0)</f>
        <v>0</v>
      </c>
      <c r="V191" s="36">
        <f>IF(AG191="2",H191,0)</f>
        <v>0</v>
      </c>
      <c r="W191" s="36">
        <f>IF(AG191="2",I191,0)</f>
        <v>0</v>
      </c>
      <c r="X191" s="36">
        <f>IF(AG191="0",J191,0)</f>
        <v>0</v>
      </c>
      <c r="Y191" s="29"/>
      <c r="Z191" s="22">
        <f>IF(AD191=0,J191,0)</f>
        <v>0</v>
      </c>
      <c r="AA191" s="22">
        <f>IF(AD191=15,J191,0)</f>
        <v>0</v>
      </c>
      <c r="AB191" s="22">
        <f>IF(AD191=21,J191,0)</f>
        <v>0</v>
      </c>
      <c r="AD191" s="36">
        <v>21</v>
      </c>
      <c r="AE191" s="36">
        <f>G191*1</f>
        <v>0</v>
      </c>
      <c r="AF191" s="36">
        <f>G191*(1-1)</f>
        <v>0</v>
      </c>
      <c r="AG191" s="33" t="s">
        <v>7</v>
      </c>
      <c r="AM191" s="36">
        <f>F191*AE191</f>
        <v>0</v>
      </c>
      <c r="AN191" s="36">
        <f>F191*AF191</f>
        <v>0</v>
      </c>
      <c r="AO191" s="37" t="s">
        <v>1066</v>
      </c>
      <c r="AP191" s="37" t="s">
        <v>1094</v>
      </c>
      <c r="AQ191" s="29" t="s">
        <v>1101</v>
      </c>
      <c r="AS191" s="36">
        <f>AM191+AN191</f>
        <v>0</v>
      </c>
      <c r="AT191" s="36">
        <f>G191/(100-AU191)*100</f>
        <v>0</v>
      </c>
      <c r="AU191" s="36">
        <v>0</v>
      </c>
      <c r="AV191" s="36">
        <f>L191</f>
        <v>2.49106</v>
      </c>
    </row>
    <row r="192" spans="4:6" ht="12.75">
      <c r="D192" s="17" t="s">
        <v>695</v>
      </c>
      <c r="F192" s="21">
        <v>2.49106</v>
      </c>
    </row>
    <row r="193" spans="1:37" ht="12.75">
      <c r="A193" s="5"/>
      <c r="B193" s="13"/>
      <c r="C193" s="13" t="s">
        <v>70</v>
      </c>
      <c r="D193" s="93" t="s">
        <v>696</v>
      </c>
      <c r="E193" s="94"/>
      <c r="F193" s="94"/>
      <c r="G193" s="94"/>
      <c r="H193" s="39">
        <f>SUM(H194:H198)</f>
        <v>0</v>
      </c>
      <c r="I193" s="39">
        <f>SUM(I194:I198)</f>
        <v>0</v>
      </c>
      <c r="J193" s="39">
        <f>H193+I193</f>
        <v>0</v>
      </c>
      <c r="K193" s="29"/>
      <c r="L193" s="39">
        <f>SUM(L194:L198)</f>
        <v>0.51683</v>
      </c>
      <c r="M193" s="29"/>
      <c r="Y193" s="29"/>
      <c r="AI193" s="39">
        <f>SUM(Z194:Z198)</f>
        <v>0</v>
      </c>
      <c r="AJ193" s="39">
        <f>SUM(AA194:AA198)</f>
        <v>0</v>
      </c>
      <c r="AK193" s="39">
        <f>SUM(AB194:AB198)</f>
        <v>0</v>
      </c>
    </row>
    <row r="194" spans="1:48" ht="12.75">
      <c r="A194" s="4" t="s">
        <v>81</v>
      </c>
      <c r="B194" s="4"/>
      <c r="C194" s="4" t="s">
        <v>329</v>
      </c>
      <c r="D194" s="4" t="s">
        <v>697</v>
      </c>
      <c r="E194" s="4" t="s">
        <v>1018</v>
      </c>
      <c r="F194" s="20">
        <v>17</v>
      </c>
      <c r="G194" s="20">
        <v>0</v>
      </c>
      <c r="H194" s="20">
        <f>F194*AE194</f>
        <v>0</v>
      </c>
      <c r="I194" s="20">
        <f>J194-H194</f>
        <v>0</v>
      </c>
      <c r="J194" s="20">
        <f>F194*G194</f>
        <v>0</v>
      </c>
      <c r="K194" s="20">
        <v>0.01897</v>
      </c>
      <c r="L194" s="20">
        <f>F194*K194</f>
        <v>0.32249</v>
      </c>
      <c r="M194" s="32" t="s">
        <v>1040</v>
      </c>
      <c r="P194" s="36">
        <f>IF(AG194="5",J194,0)</f>
        <v>0</v>
      </c>
      <c r="R194" s="36">
        <f>IF(AG194="1",H194,0)</f>
        <v>0</v>
      </c>
      <c r="S194" s="36">
        <f>IF(AG194="1",I194,0)</f>
        <v>0</v>
      </c>
      <c r="T194" s="36">
        <f>IF(AG194="7",H194,0)</f>
        <v>0</v>
      </c>
      <c r="U194" s="36">
        <f>IF(AG194="7",I194,0)</f>
        <v>0</v>
      </c>
      <c r="V194" s="36">
        <f>IF(AG194="2",H194,0)</f>
        <v>0</v>
      </c>
      <c r="W194" s="36">
        <f>IF(AG194="2",I194,0)</f>
        <v>0</v>
      </c>
      <c r="X194" s="36">
        <f>IF(AG194="0",J194,0)</f>
        <v>0</v>
      </c>
      <c r="Y194" s="29"/>
      <c r="Z194" s="20">
        <f>IF(AD194=0,J194,0)</f>
        <v>0</v>
      </c>
      <c r="AA194" s="20">
        <f>IF(AD194=15,J194,0)</f>
        <v>0</v>
      </c>
      <c r="AB194" s="20">
        <f>IF(AD194=21,J194,0)</f>
        <v>0</v>
      </c>
      <c r="AD194" s="36">
        <v>21</v>
      </c>
      <c r="AE194" s="36">
        <f>G194*0.0247067669172932</f>
        <v>0</v>
      </c>
      <c r="AF194" s="36">
        <f>G194*(1-0.0247067669172932)</f>
        <v>0</v>
      </c>
      <c r="AG194" s="32" t="s">
        <v>7</v>
      </c>
      <c r="AM194" s="36">
        <f>F194*AE194</f>
        <v>0</v>
      </c>
      <c r="AN194" s="36">
        <f>F194*AF194</f>
        <v>0</v>
      </c>
      <c r="AO194" s="37" t="s">
        <v>1067</v>
      </c>
      <c r="AP194" s="37" t="s">
        <v>1094</v>
      </c>
      <c r="AQ194" s="29" t="s">
        <v>1101</v>
      </c>
      <c r="AS194" s="36">
        <f>AM194+AN194</f>
        <v>0</v>
      </c>
      <c r="AT194" s="36">
        <f>G194/(100-AU194)*100</f>
        <v>0</v>
      </c>
      <c r="AU194" s="36">
        <v>0</v>
      </c>
      <c r="AV194" s="36">
        <f>L194</f>
        <v>0.32249</v>
      </c>
    </row>
    <row r="195" spans="1:48" ht="12.75">
      <c r="A195" s="6" t="s">
        <v>82</v>
      </c>
      <c r="B195" s="6"/>
      <c r="C195" s="6" t="s">
        <v>330</v>
      </c>
      <c r="D195" s="6" t="s">
        <v>698</v>
      </c>
      <c r="E195" s="6" t="s">
        <v>1018</v>
      </c>
      <c r="F195" s="22">
        <v>5</v>
      </c>
      <c r="G195" s="22">
        <v>0</v>
      </c>
      <c r="H195" s="22">
        <f>F195*AE195</f>
        <v>0</v>
      </c>
      <c r="I195" s="22">
        <f>J195-H195</f>
        <v>0</v>
      </c>
      <c r="J195" s="22">
        <f>F195*G195</f>
        <v>0</v>
      </c>
      <c r="K195" s="22">
        <v>0.0113</v>
      </c>
      <c r="L195" s="22">
        <f>F195*K195</f>
        <v>0.056499999999999995</v>
      </c>
      <c r="M195" s="33" t="s">
        <v>1040</v>
      </c>
      <c r="P195" s="36">
        <f>IF(AG195="5",J195,0)</f>
        <v>0</v>
      </c>
      <c r="R195" s="36">
        <f>IF(AG195="1",H195,0)</f>
        <v>0</v>
      </c>
      <c r="S195" s="36">
        <f>IF(AG195="1",I195,0)</f>
        <v>0</v>
      </c>
      <c r="T195" s="36">
        <f>IF(AG195="7",H195,0)</f>
        <v>0</v>
      </c>
      <c r="U195" s="36">
        <f>IF(AG195="7",I195,0)</f>
        <v>0</v>
      </c>
      <c r="V195" s="36">
        <f>IF(AG195="2",H195,0)</f>
        <v>0</v>
      </c>
      <c r="W195" s="36">
        <f>IF(AG195="2",I195,0)</f>
        <v>0</v>
      </c>
      <c r="X195" s="36">
        <f>IF(AG195="0",J195,0)</f>
        <v>0</v>
      </c>
      <c r="Y195" s="29"/>
      <c r="Z195" s="22">
        <f>IF(AD195=0,J195,0)</f>
        <v>0</v>
      </c>
      <c r="AA195" s="22">
        <f>IF(AD195=15,J195,0)</f>
        <v>0</v>
      </c>
      <c r="AB195" s="22">
        <f>IF(AD195=21,J195,0)</f>
        <v>0</v>
      </c>
      <c r="AD195" s="36">
        <v>21</v>
      </c>
      <c r="AE195" s="36">
        <f>G195*1</f>
        <v>0</v>
      </c>
      <c r="AF195" s="36">
        <f>G195*(1-1)</f>
        <v>0</v>
      </c>
      <c r="AG195" s="33" t="s">
        <v>7</v>
      </c>
      <c r="AM195" s="36">
        <f>F195*AE195</f>
        <v>0</v>
      </c>
      <c r="AN195" s="36">
        <f>F195*AF195</f>
        <v>0</v>
      </c>
      <c r="AO195" s="37" t="s">
        <v>1067</v>
      </c>
      <c r="AP195" s="37" t="s">
        <v>1094</v>
      </c>
      <c r="AQ195" s="29" t="s">
        <v>1101</v>
      </c>
      <c r="AS195" s="36">
        <f>AM195+AN195</f>
        <v>0</v>
      </c>
      <c r="AT195" s="36">
        <f>G195/(100-AU195)*100</f>
        <v>0</v>
      </c>
      <c r="AU195" s="36">
        <v>0</v>
      </c>
      <c r="AV195" s="36">
        <f>L195</f>
        <v>0.056499999999999995</v>
      </c>
    </row>
    <row r="196" spans="1:48" ht="12.75">
      <c r="A196" s="6" t="s">
        <v>83</v>
      </c>
      <c r="B196" s="6"/>
      <c r="C196" s="6" t="s">
        <v>331</v>
      </c>
      <c r="D196" s="6" t="s">
        <v>699</v>
      </c>
      <c r="E196" s="6" t="s">
        <v>1018</v>
      </c>
      <c r="F196" s="22">
        <v>4</v>
      </c>
      <c r="G196" s="22">
        <v>0</v>
      </c>
      <c r="H196" s="22">
        <f>F196*AE196</f>
        <v>0</v>
      </c>
      <c r="I196" s="22">
        <f>J196-H196</f>
        <v>0</v>
      </c>
      <c r="J196" s="22">
        <f>F196*G196</f>
        <v>0</v>
      </c>
      <c r="K196" s="22">
        <v>0.0113</v>
      </c>
      <c r="L196" s="22">
        <f>F196*K196</f>
        <v>0.0452</v>
      </c>
      <c r="M196" s="33" t="s">
        <v>1040</v>
      </c>
      <c r="P196" s="36">
        <f>IF(AG196="5",J196,0)</f>
        <v>0</v>
      </c>
      <c r="R196" s="36">
        <f>IF(AG196="1",H196,0)</f>
        <v>0</v>
      </c>
      <c r="S196" s="36">
        <f>IF(AG196="1",I196,0)</f>
        <v>0</v>
      </c>
      <c r="T196" s="36">
        <f>IF(AG196="7",H196,0)</f>
        <v>0</v>
      </c>
      <c r="U196" s="36">
        <f>IF(AG196="7",I196,0)</f>
        <v>0</v>
      </c>
      <c r="V196" s="36">
        <f>IF(AG196="2",H196,0)</f>
        <v>0</v>
      </c>
      <c r="W196" s="36">
        <f>IF(AG196="2",I196,0)</f>
        <v>0</v>
      </c>
      <c r="X196" s="36">
        <f>IF(AG196="0",J196,0)</f>
        <v>0</v>
      </c>
      <c r="Y196" s="29"/>
      <c r="Z196" s="22">
        <f>IF(AD196=0,J196,0)</f>
        <v>0</v>
      </c>
      <c r="AA196" s="22">
        <f>IF(AD196=15,J196,0)</f>
        <v>0</v>
      </c>
      <c r="AB196" s="22">
        <f>IF(AD196=21,J196,0)</f>
        <v>0</v>
      </c>
      <c r="AD196" s="36">
        <v>21</v>
      </c>
      <c r="AE196" s="36">
        <f>G196*1</f>
        <v>0</v>
      </c>
      <c r="AF196" s="36">
        <f>G196*(1-1)</f>
        <v>0</v>
      </c>
      <c r="AG196" s="33" t="s">
        <v>7</v>
      </c>
      <c r="AM196" s="36">
        <f>F196*AE196</f>
        <v>0</v>
      </c>
      <c r="AN196" s="36">
        <f>F196*AF196</f>
        <v>0</v>
      </c>
      <c r="AO196" s="37" t="s">
        <v>1067</v>
      </c>
      <c r="AP196" s="37" t="s">
        <v>1094</v>
      </c>
      <c r="AQ196" s="29" t="s">
        <v>1101</v>
      </c>
      <c r="AS196" s="36">
        <f>AM196+AN196</f>
        <v>0</v>
      </c>
      <c r="AT196" s="36">
        <f>G196/(100-AU196)*100</f>
        <v>0</v>
      </c>
      <c r="AU196" s="36">
        <v>0</v>
      </c>
      <c r="AV196" s="36">
        <f>L196</f>
        <v>0.0452</v>
      </c>
    </row>
    <row r="197" spans="1:48" ht="12.75">
      <c r="A197" s="6" t="s">
        <v>84</v>
      </c>
      <c r="B197" s="6"/>
      <c r="C197" s="6" t="s">
        <v>332</v>
      </c>
      <c r="D197" s="6" t="s">
        <v>700</v>
      </c>
      <c r="E197" s="6" t="s">
        <v>1018</v>
      </c>
      <c r="F197" s="22">
        <v>4</v>
      </c>
      <c r="G197" s="22">
        <v>0</v>
      </c>
      <c r="H197" s="22">
        <f>F197*AE197</f>
        <v>0</v>
      </c>
      <c r="I197" s="22">
        <f>J197-H197</f>
        <v>0</v>
      </c>
      <c r="J197" s="22">
        <f>F197*G197</f>
        <v>0</v>
      </c>
      <c r="K197" s="22">
        <v>0.01158</v>
      </c>
      <c r="L197" s="22">
        <f>F197*K197</f>
        <v>0.04632</v>
      </c>
      <c r="M197" s="33" t="s">
        <v>1040</v>
      </c>
      <c r="P197" s="36">
        <f>IF(AG197="5",J197,0)</f>
        <v>0</v>
      </c>
      <c r="R197" s="36">
        <f>IF(AG197="1",H197,0)</f>
        <v>0</v>
      </c>
      <c r="S197" s="36">
        <f>IF(AG197="1",I197,0)</f>
        <v>0</v>
      </c>
      <c r="T197" s="36">
        <f>IF(AG197="7",H197,0)</f>
        <v>0</v>
      </c>
      <c r="U197" s="36">
        <f>IF(AG197="7",I197,0)</f>
        <v>0</v>
      </c>
      <c r="V197" s="36">
        <f>IF(AG197="2",H197,0)</f>
        <v>0</v>
      </c>
      <c r="W197" s="36">
        <f>IF(AG197="2",I197,0)</f>
        <v>0</v>
      </c>
      <c r="X197" s="36">
        <f>IF(AG197="0",J197,0)</f>
        <v>0</v>
      </c>
      <c r="Y197" s="29"/>
      <c r="Z197" s="22">
        <f>IF(AD197=0,J197,0)</f>
        <v>0</v>
      </c>
      <c r="AA197" s="22">
        <f>IF(AD197=15,J197,0)</f>
        <v>0</v>
      </c>
      <c r="AB197" s="22">
        <f>IF(AD197=21,J197,0)</f>
        <v>0</v>
      </c>
      <c r="AD197" s="36">
        <v>21</v>
      </c>
      <c r="AE197" s="36">
        <f>G197*1</f>
        <v>0</v>
      </c>
      <c r="AF197" s="36">
        <f>G197*(1-1)</f>
        <v>0</v>
      </c>
      <c r="AG197" s="33" t="s">
        <v>7</v>
      </c>
      <c r="AM197" s="36">
        <f>F197*AE197</f>
        <v>0</v>
      </c>
      <c r="AN197" s="36">
        <f>F197*AF197</f>
        <v>0</v>
      </c>
      <c r="AO197" s="37" t="s">
        <v>1067</v>
      </c>
      <c r="AP197" s="37" t="s">
        <v>1094</v>
      </c>
      <c r="AQ197" s="29" t="s">
        <v>1101</v>
      </c>
      <c r="AS197" s="36">
        <f>AM197+AN197</f>
        <v>0</v>
      </c>
      <c r="AT197" s="36">
        <f>G197/(100-AU197)*100</f>
        <v>0</v>
      </c>
      <c r="AU197" s="36">
        <v>0</v>
      </c>
      <c r="AV197" s="36">
        <f>L197</f>
        <v>0.04632</v>
      </c>
    </row>
    <row r="198" spans="1:48" ht="12.75">
      <c r="A198" s="6" t="s">
        <v>85</v>
      </c>
      <c r="B198" s="6"/>
      <c r="C198" s="6" t="s">
        <v>333</v>
      </c>
      <c r="D198" s="6" t="s">
        <v>701</v>
      </c>
      <c r="E198" s="6" t="s">
        <v>1018</v>
      </c>
      <c r="F198" s="22">
        <v>4</v>
      </c>
      <c r="G198" s="22">
        <v>0</v>
      </c>
      <c r="H198" s="22">
        <f>F198*AE198</f>
        <v>0</v>
      </c>
      <c r="I198" s="22">
        <f>J198-H198</f>
        <v>0</v>
      </c>
      <c r="J198" s="22">
        <f>F198*G198</f>
        <v>0</v>
      </c>
      <c r="K198" s="22">
        <v>0.01158</v>
      </c>
      <c r="L198" s="22">
        <f>F198*K198</f>
        <v>0.04632</v>
      </c>
      <c r="M198" s="33" t="s">
        <v>1040</v>
      </c>
      <c r="P198" s="36">
        <f>IF(AG198="5",J198,0)</f>
        <v>0</v>
      </c>
      <c r="R198" s="36">
        <f>IF(AG198="1",H198,0)</f>
        <v>0</v>
      </c>
      <c r="S198" s="36">
        <f>IF(AG198="1",I198,0)</f>
        <v>0</v>
      </c>
      <c r="T198" s="36">
        <f>IF(AG198="7",H198,0)</f>
        <v>0</v>
      </c>
      <c r="U198" s="36">
        <f>IF(AG198="7",I198,0)</f>
        <v>0</v>
      </c>
      <c r="V198" s="36">
        <f>IF(AG198="2",H198,0)</f>
        <v>0</v>
      </c>
      <c r="W198" s="36">
        <f>IF(AG198="2",I198,0)</f>
        <v>0</v>
      </c>
      <c r="X198" s="36">
        <f>IF(AG198="0",J198,0)</f>
        <v>0</v>
      </c>
      <c r="Y198" s="29"/>
      <c r="Z198" s="22">
        <f>IF(AD198=0,J198,0)</f>
        <v>0</v>
      </c>
      <c r="AA198" s="22">
        <f>IF(AD198=15,J198,0)</f>
        <v>0</v>
      </c>
      <c r="AB198" s="22">
        <f>IF(AD198=21,J198,0)</f>
        <v>0</v>
      </c>
      <c r="AD198" s="36">
        <v>21</v>
      </c>
      <c r="AE198" s="36">
        <f>G198*1</f>
        <v>0</v>
      </c>
      <c r="AF198" s="36">
        <f>G198*(1-1)</f>
        <v>0</v>
      </c>
      <c r="AG198" s="33" t="s">
        <v>7</v>
      </c>
      <c r="AM198" s="36">
        <f>F198*AE198</f>
        <v>0</v>
      </c>
      <c r="AN198" s="36">
        <f>F198*AF198</f>
        <v>0</v>
      </c>
      <c r="AO198" s="37" t="s">
        <v>1067</v>
      </c>
      <c r="AP198" s="37" t="s">
        <v>1094</v>
      </c>
      <c r="AQ198" s="29" t="s">
        <v>1101</v>
      </c>
      <c r="AS198" s="36">
        <f>AM198+AN198</f>
        <v>0</v>
      </c>
      <c r="AT198" s="36">
        <f>G198/(100-AU198)*100</f>
        <v>0</v>
      </c>
      <c r="AU198" s="36">
        <v>0</v>
      </c>
      <c r="AV198" s="36">
        <f>L198</f>
        <v>0.04632</v>
      </c>
    </row>
    <row r="199" spans="1:37" ht="12.75">
      <c r="A199" s="5"/>
      <c r="B199" s="13"/>
      <c r="C199" s="13" t="s">
        <v>96</v>
      </c>
      <c r="D199" s="93" t="s">
        <v>702</v>
      </c>
      <c r="E199" s="94"/>
      <c r="F199" s="94"/>
      <c r="G199" s="94"/>
      <c r="H199" s="39">
        <f>SUM(H200:H200)</f>
        <v>0</v>
      </c>
      <c r="I199" s="39">
        <f>SUM(I200:I200)</f>
        <v>0</v>
      </c>
      <c r="J199" s="39">
        <f>H199+I199</f>
        <v>0</v>
      </c>
      <c r="K199" s="29"/>
      <c r="L199" s="39">
        <f>SUM(L200:L200)</f>
        <v>0</v>
      </c>
      <c r="M199" s="29"/>
      <c r="Y199" s="29"/>
      <c r="AI199" s="39">
        <f>SUM(Z200:Z200)</f>
        <v>0</v>
      </c>
      <c r="AJ199" s="39">
        <f>SUM(AA200:AA200)</f>
        <v>0</v>
      </c>
      <c r="AK199" s="39">
        <f>SUM(AB200:AB200)</f>
        <v>0</v>
      </c>
    </row>
    <row r="200" spans="1:48" ht="12.75">
      <c r="A200" s="4" t="s">
        <v>86</v>
      </c>
      <c r="B200" s="4"/>
      <c r="C200" s="4" t="s">
        <v>334</v>
      </c>
      <c r="D200" s="4" t="s">
        <v>703</v>
      </c>
      <c r="E200" s="4" t="s">
        <v>1021</v>
      </c>
      <c r="F200" s="20">
        <v>10</v>
      </c>
      <c r="G200" s="20">
        <v>0</v>
      </c>
      <c r="H200" s="20">
        <f>F200*AE200</f>
        <v>0</v>
      </c>
      <c r="I200" s="20">
        <f>J200-H200</f>
        <v>0</v>
      </c>
      <c r="J200" s="20">
        <f>F200*G200</f>
        <v>0</v>
      </c>
      <c r="K200" s="20">
        <v>0</v>
      </c>
      <c r="L200" s="20">
        <f>F200*K200</f>
        <v>0</v>
      </c>
      <c r="M200" s="32" t="s">
        <v>1040</v>
      </c>
      <c r="P200" s="36">
        <f>IF(AG200="5",J200,0)</f>
        <v>0</v>
      </c>
      <c r="R200" s="36">
        <f>IF(AG200="1",H200,0)</f>
        <v>0</v>
      </c>
      <c r="S200" s="36">
        <f>IF(AG200="1",I200,0)</f>
        <v>0</v>
      </c>
      <c r="T200" s="36">
        <f>IF(AG200="7",H200,0)</f>
        <v>0</v>
      </c>
      <c r="U200" s="36">
        <f>IF(AG200="7",I200,0)</f>
        <v>0</v>
      </c>
      <c r="V200" s="36">
        <f>IF(AG200="2",H200,0)</f>
        <v>0</v>
      </c>
      <c r="W200" s="36">
        <f>IF(AG200="2",I200,0)</f>
        <v>0</v>
      </c>
      <c r="X200" s="36">
        <f>IF(AG200="0",J200,0)</f>
        <v>0</v>
      </c>
      <c r="Y200" s="29"/>
      <c r="Z200" s="20">
        <f>IF(AD200=0,J200,0)</f>
        <v>0</v>
      </c>
      <c r="AA200" s="20">
        <f>IF(AD200=15,J200,0)</f>
        <v>0</v>
      </c>
      <c r="AB200" s="20">
        <f>IF(AD200=21,J200,0)</f>
        <v>0</v>
      </c>
      <c r="AD200" s="36">
        <v>21</v>
      </c>
      <c r="AE200" s="36">
        <f>G200*0</f>
        <v>0</v>
      </c>
      <c r="AF200" s="36">
        <f>G200*(1-0)</f>
        <v>0</v>
      </c>
      <c r="AG200" s="32" t="s">
        <v>7</v>
      </c>
      <c r="AM200" s="36">
        <f>F200*AE200</f>
        <v>0</v>
      </c>
      <c r="AN200" s="36">
        <f>F200*AF200</f>
        <v>0</v>
      </c>
      <c r="AO200" s="37" t="s">
        <v>1068</v>
      </c>
      <c r="AP200" s="37" t="s">
        <v>1095</v>
      </c>
      <c r="AQ200" s="29" t="s">
        <v>1101</v>
      </c>
      <c r="AS200" s="36">
        <f>AM200+AN200</f>
        <v>0</v>
      </c>
      <c r="AT200" s="36">
        <f>G200/(100-AU200)*100</f>
        <v>0</v>
      </c>
      <c r="AU200" s="36">
        <v>0</v>
      </c>
      <c r="AV200" s="36">
        <f>L200</f>
        <v>0</v>
      </c>
    </row>
    <row r="201" spans="3:13" ht="12.75">
      <c r="C201" s="14" t="s">
        <v>255</v>
      </c>
      <c r="D201" s="91" t="s">
        <v>704</v>
      </c>
      <c r="E201" s="92"/>
      <c r="F201" s="92"/>
      <c r="G201" s="92"/>
      <c r="H201" s="92"/>
      <c r="I201" s="92"/>
      <c r="J201" s="92"/>
      <c r="K201" s="92"/>
      <c r="L201" s="92"/>
      <c r="M201" s="92"/>
    </row>
    <row r="202" spans="1:37" ht="12.75">
      <c r="A202" s="5"/>
      <c r="B202" s="13"/>
      <c r="C202" s="13" t="s">
        <v>100</v>
      </c>
      <c r="D202" s="93" t="s">
        <v>705</v>
      </c>
      <c r="E202" s="94"/>
      <c r="F202" s="94"/>
      <c r="G202" s="94"/>
      <c r="H202" s="39">
        <f>SUM(H203:H208)</f>
        <v>0</v>
      </c>
      <c r="I202" s="39">
        <f>SUM(I203:I208)</f>
        <v>0</v>
      </c>
      <c r="J202" s="39">
        <f>H202+I202</f>
        <v>0</v>
      </c>
      <c r="K202" s="29"/>
      <c r="L202" s="39">
        <f>SUM(L203:L208)</f>
        <v>2.1991677250000006</v>
      </c>
      <c r="M202" s="29"/>
      <c r="Y202" s="29"/>
      <c r="AI202" s="39">
        <f>SUM(Z203:Z208)</f>
        <v>0</v>
      </c>
      <c r="AJ202" s="39">
        <f>SUM(AA203:AA208)</f>
        <v>0</v>
      </c>
      <c r="AK202" s="39">
        <f>SUM(AB203:AB208)</f>
        <v>0</v>
      </c>
    </row>
    <row r="203" spans="1:48" ht="12.75">
      <c r="A203" s="4" t="s">
        <v>87</v>
      </c>
      <c r="B203" s="4"/>
      <c r="C203" s="4" t="s">
        <v>335</v>
      </c>
      <c r="D203" s="4" t="s">
        <v>706</v>
      </c>
      <c r="E203" s="4" t="s">
        <v>1016</v>
      </c>
      <c r="F203" s="20">
        <v>100.81</v>
      </c>
      <c r="G203" s="20">
        <v>0</v>
      </c>
      <c r="H203" s="20">
        <f>F203*AE203</f>
        <v>0</v>
      </c>
      <c r="I203" s="20">
        <f>J203-H203</f>
        <v>0</v>
      </c>
      <c r="J203" s="20">
        <f>F203*G203</f>
        <v>0</v>
      </c>
      <c r="K203" s="20">
        <v>0.01838</v>
      </c>
      <c r="L203" s="20">
        <f>F203*K203</f>
        <v>1.8528878000000002</v>
      </c>
      <c r="M203" s="32" t="s">
        <v>1040</v>
      </c>
      <c r="P203" s="36">
        <f>IF(AG203="5",J203,0)</f>
        <v>0</v>
      </c>
      <c r="R203" s="36">
        <f>IF(AG203="1",H203,0)</f>
        <v>0</v>
      </c>
      <c r="S203" s="36">
        <f>IF(AG203="1",I203,0)</f>
        <v>0</v>
      </c>
      <c r="T203" s="36">
        <f>IF(AG203="7",H203,0)</f>
        <v>0</v>
      </c>
      <c r="U203" s="36">
        <f>IF(AG203="7",I203,0)</f>
        <v>0</v>
      </c>
      <c r="V203" s="36">
        <f>IF(AG203="2",H203,0)</f>
        <v>0</v>
      </c>
      <c r="W203" s="36">
        <f>IF(AG203="2",I203,0)</f>
        <v>0</v>
      </c>
      <c r="X203" s="36">
        <f>IF(AG203="0",J203,0)</f>
        <v>0</v>
      </c>
      <c r="Y203" s="29"/>
      <c r="Z203" s="20">
        <f>IF(AD203=0,J203,0)</f>
        <v>0</v>
      </c>
      <c r="AA203" s="20">
        <f>IF(AD203=15,J203,0)</f>
        <v>0</v>
      </c>
      <c r="AB203" s="20">
        <f>IF(AD203=21,J203,0)</f>
        <v>0</v>
      </c>
      <c r="AD203" s="36">
        <v>21</v>
      </c>
      <c r="AE203" s="36">
        <f>G203*0.00058027079303675</f>
        <v>0</v>
      </c>
      <c r="AF203" s="36">
        <f>G203*(1-0.00058027079303675)</f>
        <v>0</v>
      </c>
      <c r="AG203" s="32" t="s">
        <v>7</v>
      </c>
      <c r="AM203" s="36">
        <f>F203*AE203</f>
        <v>0</v>
      </c>
      <c r="AN203" s="36">
        <f>F203*AF203</f>
        <v>0</v>
      </c>
      <c r="AO203" s="37" t="s">
        <v>1069</v>
      </c>
      <c r="AP203" s="37" t="s">
        <v>1095</v>
      </c>
      <c r="AQ203" s="29" t="s">
        <v>1101</v>
      </c>
      <c r="AS203" s="36">
        <f>AM203+AN203</f>
        <v>0</v>
      </c>
      <c r="AT203" s="36">
        <f>G203/(100-AU203)*100</f>
        <v>0</v>
      </c>
      <c r="AU203" s="36">
        <v>0</v>
      </c>
      <c r="AV203" s="36">
        <f>L203</f>
        <v>1.8528878000000002</v>
      </c>
    </row>
    <row r="204" spans="4:6" ht="12.75">
      <c r="D204" s="17" t="s">
        <v>707</v>
      </c>
      <c r="F204" s="21">
        <v>100.81</v>
      </c>
    </row>
    <row r="205" spans="1:48" ht="12.75">
      <c r="A205" s="4" t="s">
        <v>88</v>
      </c>
      <c r="B205" s="4"/>
      <c r="C205" s="4" t="s">
        <v>336</v>
      </c>
      <c r="D205" s="4" t="s">
        <v>708</v>
      </c>
      <c r="E205" s="4" t="s">
        <v>1016</v>
      </c>
      <c r="F205" s="20">
        <v>201.62</v>
      </c>
      <c r="G205" s="20">
        <v>0</v>
      </c>
      <c r="H205" s="20">
        <f>F205*AE205</f>
        <v>0</v>
      </c>
      <c r="I205" s="20">
        <f>J205-H205</f>
        <v>0</v>
      </c>
      <c r="J205" s="20">
        <f>F205*G205</f>
        <v>0</v>
      </c>
      <c r="K205" s="20">
        <v>0.00097</v>
      </c>
      <c r="L205" s="20">
        <f>F205*K205</f>
        <v>0.1955714</v>
      </c>
      <c r="M205" s="32" t="s">
        <v>1040</v>
      </c>
      <c r="P205" s="36">
        <f>IF(AG205="5",J205,0)</f>
        <v>0</v>
      </c>
      <c r="R205" s="36">
        <f>IF(AG205="1",H205,0)</f>
        <v>0</v>
      </c>
      <c r="S205" s="36">
        <f>IF(AG205="1",I205,0)</f>
        <v>0</v>
      </c>
      <c r="T205" s="36">
        <f>IF(AG205="7",H205,0)</f>
        <v>0</v>
      </c>
      <c r="U205" s="36">
        <f>IF(AG205="7",I205,0)</f>
        <v>0</v>
      </c>
      <c r="V205" s="36">
        <f>IF(AG205="2",H205,0)</f>
        <v>0</v>
      </c>
      <c r="W205" s="36">
        <f>IF(AG205="2",I205,0)</f>
        <v>0</v>
      </c>
      <c r="X205" s="36">
        <f>IF(AG205="0",J205,0)</f>
        <v>0</v>
      </c>
      <c r="Y205" s="29"/>
      <c r="Z205" s="20">
        <f>IF(AD205=0,J205,0)</f>
        <v>0</v>
      </c>
      <c r="AA205" s="20">
        <f>IF(AD205=15,J205,0)</f>
        <v>0</v>
      </c>
      <c r="AB205" s="20">
        <f>IF(AD205=21,J205,0)</f>
        <v>0</v>
      </c>
      <c r="AD205" s="36">
        <v>21</v>
      </c>
      <c r="AE205" s="36">
        <f>G205*0.944876985362815</f>
        <v>0</v>
      </c>
      <c r="AF205" s="36">
        <f>G205*(1-0.944876985362815)</f>
        <v>0</v>
      </c>
      <c r="AG205" s="32" t="s">
        <v>7</v>
      </c>
      <c r="AM205" s="36">
        <f>F205*AE205</f>
        <v>0</v>
      </c>
      <c r="AN205" s="36">
        <f>F205*AF205</f>
        <v>0</v>
      </c>
      <c r="AO205" s="37" t="s">
        <v>1069</v>
      </c>
      <c r="AP205" s="37" t="s">
        <v>1095</v>
      </c>
      <c r="AQ205" s="29" t="s">
        <v>1101</v>
      </c>
      <c r="AS205" s="36">
        <f>AM205+AN205</f>
        <v>0</v>
      </c>
      <c r="AT205" s="36">
        <f>G205/(100-AU205)*100</f>
        <v>0</v>
      </c>
      <c r="AU205" s="36">
        <v>0</v>
      </c>
      <c r="AV205" s="36">
        <f>L205</f>
        <v>0.1955714</v>
      </c>
    </row>
    <row r="206" spans="4:6" ht="12.75">
      <c r="D206" s="17" t="s">
        <v>709</v>
      </c>
      <c r="F206" s="21">
        <v>201.62</v>
      </c>
    </row>
    <row r="207" spans="1:48" ht="12.75">
      <c r="A207" s="4" t="s">
        <v>89</v>
      </c>
      <c r="B207" s="4"/>
      <c r="C207" s="4" t="s">
        <v>337</v>
      </c>
      <c r="D207" s="4" t="s">
        <v>710</v>
      </c>
      <c r="E207" s="4" t="s">
        <v>1016</v>
      </c>
      <c r="F207" s="20">
        <v>100.81</v>
      </c>
      <c r="G207" s="20">
        <v>0</v>
      </c>
      <c r="H207" s="20">
        <f>F207*AE207</f>
        <v>0</v>
      </c>
      <c r="I207" s="20">
        <f>J207-H207</f>
        <v>0</v>
      </c>
      <c r="J207" s="20">
        <f>F207*G207</f>
        <v>0</v>
      </c>
      <c r="K207" s="20">
        <v>0</v>
      </c>
      <c r="L207" s="20">
        <f>F207*K207</f>
        <v>0</v>
      </c>
      <c r="M207" s="32" t="s">
        <v>1040</v>
      </c>
      <c r="P207" s="36">
        <f>IF(AG207="5",J207,0)</f>
        <v>0</v>
      </c>
      <c r="R207" s="36">
        <f>IF(AG207="1",H207,0)</f>
        <v>0</v>
      </c>
      <c r="S207" s="36">
        <f>IF(AG207="1",I207,0)</f>
        <v>0</v>
      </c>
      <c r="T207" s="36">
        <f>IF(AG207="7",H207,0)</f>
        <v>0</v>
      </c>
      <c r="U207" s="36">
        <f>IF(AG207="7",I207,0)</f>
        <v>0</v>
      </c>
      <c r="V207" s="36">
        <f>IF(AG207="2",H207,0)</f>
        <v>0</v>
      </c>
      <c r="W207" s="36">
        <f>IF(AG207="2",I207,0)</f>
        <v>0</v>
      </c>
      <c r="X207" s="36">
        <f>IF(AG207="0",J207,0)</f>
        <v>0</v>
      </c>
      <c r="Y207" s="29"/>
      <c r="Z207" s="20">
        <f>IF(AD207=0,J207,0)</f>
        <v>0</v>
      </c>
      <c r="AA207" s="20">
        <f>IF(AD207=15,J207,0)</f>
        <v>0</v>
      </c>
      <c r="AB207" s="20">
        <f>IF(AD207=21,J207,0)</f>
        <v>0</v>
      </c>
      <c r="AD207" s="36">
        <v>21</v>
      </c>
      <c r="AE207" s="36">
        <f>G207*0</f>
        <v>0</v>
      </c>
      <c r="AF207" s="36">
        <f>G207*(1-0)</f>
        <v>0</v>
      </c>
      <c r="AG207" s="32" t="s">
        <v>7</v>
      </c>
      <c r="AM207" s="36">
        <f>F207*AE207</f>
        <v>0</v>
      </c>
      <c r="AN207" s="36">
        <f>F207*AF207</f>
        <v>0</v>
      </c>
      <c r="AO207" s="37" t="s">
        <v>1069</v>
      </c>
      <c r="AP207" s="37" t="s">
        <v>1095</v>
      </c>
      <c r="AQ207" s="29" t="s">
        <v>1101</v>
      </c>
      <c r="AS207" s="36">
        <f>AM207+AN207</f>
        <v>0</v>
      </c>
      <c r="AT207" s="36">
        <f>G207/(100-AU207)*100</f>
        <v>0</v>
      </c>
      <c r="AU207" s="36">
        <v>0</v>
      </c>
      <c r="AV207" s="36">
        <f>L207</f>
        <v>0</v>
      </c>
    </row>
    <row r="208" spans="1:48" ht="12.75">
      <c r="A208" s="4" t="s">
        <v>90</v>
      </c>
      <c r="B208" s="4"/>
      <c r="C208" s="4" t="s">
        <v>338</v>
      </c>
      <c r="D208" s="4" t="s">
        <v>711</v>
      </c>
      <c r="E208" s="4" t="s">
        <v>1016</v>
      </c>
      <c r="F208" s="20">
        <v>124.5525</v>
      </c>
      <c r="G208" s="20">
        <v>0</v>
      </c>
      <c r="H208" s="20">
        <f>F208*AE208</f>
        <v>0</v>
      </c>
      <c r="I208" s="20">
        <f>J208-H208</f>
        <v>0</v>
      </c>
      <c r="J208" s="20">
        <f>F208*G208</f>
        <v>0</v>
      </c>
      <c r="K208" s="20">
        <v>0.00121</v>
      </c>
      <c r="L208" s="20">
        <f>F208*K208</f>
        <v>0.15070852499999998</v>
      </c>
      <c r="M208" s="32" t="s">
        <v>1040</v>
      </c>
      <c r="P208" s="36">
        <f>IF(AG208="5",J208,0)</f>
        <v>0</v>
      </c>
      <c r="R208" s="36">
        <f>IF(AG208="1",H208,0)</f>
        <v>0</v>
      </c>
      <c r="S208" s="36">
        <f>IF(AG208="1",I208,0)</f>
        <v>0</v>
      </c>
      <c r="T208" s="36">
        <f>IF(AG208="7",H208,0)</f>
        <v>0</v>
      </c>
      <c r="U208" s="36">
        <f>IF(AG208="7",I208,0)</f>
        <v>0</v>
      </c>
      <c r="V208" s="36">
        <f>IF(AG208="2",H208,0)</f>
        <v>0</v>
      </c>
      <c r="W208" s="36">
        <f>IF(AG208="2",I208,0)</f>
        <v>0</v>
      </c>
      <c r="X208" s="36">
        <f>IF(AG208="0",J208,0)</f>
        <v>0</v>
      </c>
      <c r="Y208" s="29"/>
      <c r="Z208" s="20">
        <f>IF(AD208=0,J208,0)</f>
        <v>0</v>
      </c>
      <c r="AA208" s="20">
        <f>IF(AD208=15,J208,0)</f>
        <v>0</v>
      </c>
      <c r="AB208" s="20">
        <f>IF(AD208=21,J208,0)</f>
        <v>0</v>
      </c>
      <c r="AD208" s="36">
        <v>21</v>
      </c>
      <c r="AE208" s="36">
        <f>G208*0.392890442890443</f>
        <v>0</v>
      </c>
      <c r="AF208" s="36">
        <f>G208*(1-0.392890442890443)</f>
        <v>0</v>
      </c>
      <c r="AG208" s="32" t="s">
        <v>7</v>
      </c>
      <c r="AM208" s="36">
        <f>F208*AE208</f>
        <v>0</v>
      </c>
      <c r="AN208" s="36">
        <f>F208*AF208</f>
        <v>0</v>
      </c>
      <c r="AO208" s="37" t="s">
        <v>1069</v>
      </c>
      <c r="AP208" s="37" t="s">
        <v>1095</v>
      </c>
      <c r="AQ208" s="29" t="s">
        <v>1101</v>
      </c>
      <c r="AS208" s="36">
        <f>AM208+AN208</f>
        <v>0</v>
      </c>
      <c r="AT208" s="36">
        <f>G208/(100-AU208)*100</f>
        <v>0</v>
      </c>
      <c r="AU208" s="36">
        <v>0</v>
      </c>
      <c r="AV208" s="36">
        <f>L208</f>
        <v>0.15070852499999998</v>
      </c>
    </row>
    <row r="209" spans="4:6" ht="12.75">
      <c r="D209" s="17" t="s">
        <v>712</v>
      </c>
      <c r="F209" s="21">
        <v>124.5525</v>
      </c>
    </row>
    <row r="210" spans="1:37" ht="12.75">
      <c r="A210" s="5"/>
      <c r="B210" s="13"/>
      <c r="C210" s="13" t="s">
        <v>101</v>
      </c>
      <c r="D210" s="93" t="s">
        <v>713</v>
      </c>
      <c r="E210" s="94"/>
      <c r="F210" s="94"/>
      <c r="G210" s="94"/>
      <c r="H210" s="39">
        <f>SUM(H211:H214)</f>
        <v>0</v>
      </c>
      <c r="I210" s="39">
        <f>SUM(I211:I214)</f>
        <v>0</v>
      </c>
      <c r="J210" s="39">
        <f>H210+I210</f>
        <v>0</v>
      </c>
      <c r="K210" s="29"/>
      <c r="L210" s="39">
        <f>SUM(L211:L214)</f>
        <v>0.0052098000000000005</v>
      </c>
      <c r="M210" s="29"/>
      <c r="Y210" s="29"/>
      <c r="AI210" s="39">
        <f>SUM(Z211:Z214)</f>
        <v>0</v>
      </c>
      <c r="AJ210" s="39">
        <f>SUM(AA211:AA214)</f>
        <v>0</v>
      </c>
      <c r="AK210" s="39">
        <f>SUM(AB211:AB214)</f>
        <v>0</v>
      </c>
    </row>
    <row r="211" spans="1:48" ht="12.75">
      <c r="A211" s="4" t="s">
        <v>91</v>
      </c>
      <c r="B211" s="4"/>
      <c r="C211" s="4" t="s">
        <v>339</v>
      </c>
      <c r="D211" s="4" t="s">
        <v>714</v>
      </c>
      <c r="E211" s="4" t="s">
        <v>1016</v>
      </c>
      <c r="F211" s="20">
        <v>22.77</v>
      </c>
      <c r="G211" s="20">
        <v>0</v>
      </c>
      <c r="H211" s="20">
        <f>F211*AE211</f>
        <v>0</v>
      </c>
      <c r="I211" s="20">
        <f>J211-H211</f>
        <v>0</v>
      </c>
      <c r="J211" s="20">
        <f>F211*G211</f>
        <v>0</v>
      </c>
      <c r="K211" s="20">
        <v>1E-05</v>
      </c>
      <c r="L211" s="20">
        <f>F211*K211</f>
        <v>0.0002277</v>
      </c>
      <c r="M211" s="32" t="s">
        <v>1040</v>
      </c>
      <c r="P211" s="36">
        <f>IF(AG211="5",J211,0)</f>
        <v>0</v>
      </c>
      <c r="R211" s="36">
        <f>IF(AG211="1",H211,0)</f>
        <v>0</v>
      </c>
      <c r="S211" s="36">
        <f>IF(AG211="1",I211,0)</f>
        <v>0</v>
      </c>
      <c r="T211" s="36">
        <f>IF(AG211="7",H211,0)</f>
        <v>0</v>
      </c>
      <c r="U211" s="36">
        <f>IF(AG211="7",I211,0)</f>
        <v>0</v>
      </c>
      <c r="V211" s="36">
        <f>IF(AG211="2",H211,0)</f>
        <v>0</v>
      </c>
      <c r="W211" s="36">
        <f>IF(AG211="2",I211,0)</f>
        <v>0</v>
      </c>
      <c r="X211" s="36">
        <f>IF(AG211="0",J211,0)</f>
        <v>0</v>
      </c>
      <c r="Y211" s="29"/>
      <c r="Z211" s="20">
        <f>IF(AD211=0,J211,0)</f>
        <v>0</v>
      </c>
      <c r="AA211" s="20">
        <f>IF(AD211=15,J211,0)</f>
        <v>0</v>
      </c>
      <c r="AB211" s="20">
        <f>IF(AD211=21,J211,0)</f>
        <v>0</v>
      </c>
      <c r="AD211" s="36">
        <v>21</v>
      </c>
      <c r="AE211" s="36">
        <f>G211*0.0260233125508268</f>
        <v>0</v>
      </c>
      <c r="AF211" s="36">
        <f>G211*(1-0.0260233125508268)</f>
        <v>0</v>
      </c>
      <c r="AG211" s="32" t="s">
        <v>7</v>
      </c>
      <c r="AM211" s="36">
        <f>F211*AE211</f>
        <v>0</v>
      </c>
      <c r="AN211" s="36">
        <f>F211*AF211</f>
        <v>0</v>
      </c>
      <c r="AO211" s="37" t="s">
        <v>1070</v>
      </c>
      <c r="AP211" s="37" t="s">
        <v>1095</v>
      </c>
      <c r="AQ211" s="29" t="s">
        <v>1101</v>
      </c>
      <c r="AS211" s="36">
        <f>AM211+AN211</f>
        <v>0</v>
      </c>
      <c r="AT211" s="36">
        <f>G211/(100-AU211)*100</f>
        <v>0</v>
      </c>
      <c r="AU211" s="36">
        <v>0</v>
      </c>
      <c r="AV211" s="36">
        <f>L211</f>
        <v>0.0002277</v>
      </c>
    </row>
    <row r="212" spans="4:6" ht="12.75">
      <c r="D212" s="17" t="s">
        <v>715</v>
      </c>
      <c r="F212" s="21">
        <v>22.77</v>
      </c>
    </row>
    <row r="213" spans="1:48" ht="12.75">
      <c r="A213" s="4" t="s">
        <v>92</v>
      </c>
      <c r="B213" s="4"/>
      <c r="C213" s="4" t="s">
        <v>340</v>
      </c>
      <c r="D213" s="4" t="s">
        <v>716</v>
      </c>
      <c r="E213" s="4" t="s">
        <v>1016</v>
      </c>
      <c r="F213" s="20">
        <v>124.5525</v>
      </c>
      <c r="G213" s="20">
        <v>0</v>
      </c>
      <c r="H213" s="20">
        <f>F213*AE213</f>
        <v>0</v>
      </c>
      <c r="I213" s="20">
        <f>J213-H213</f>
        <v>0</v>
      </c>
      <c r="J213" s="20">
        <f>F213*G213</f>
        <v>0</v>
      </c>
      <c r="K213" s="20">
        <v>4E-05</v>
      </c>
      <c r="L213" s="20">
        <f>F213*K213</f>
        <v>0.004982100000000001</v>
      </c>
      <c r="M213" s="32" t="s">
        <v>1040</v>
      </c>
      <c r="P213" s="36">
        <f>IF(AG213="5",J213,0)</f>
        <v>0</v>
      </c>
      <c r="R213" s="36">
        <f>IF(AG213="1",H213,0)</f>
        <v>0</v>
      </c>
      <c r="S213" s="36">
        <f>IF(AG213="1",I213,0)</f>
        <v>0</v>
      </c>
      <c r="T213" s="36">
        <f>IF(AG213="7",H213,0)</f>
        <v>0</v>
      </c>
      <c r="U213" s="36">
        <f>IF(AG213="7",I213,0)</f>
        <v>0</v>
      </c>
      <c r="V213" s="36">
        <f>IF(AG213="2",H213,0)</f>
        <v>0</v>
      </c>
      <c r="W213" s="36">
        <f>IF(AG213="2",I213,0)</f>
        <v>0</v>
      </c>
      <c r="X213" s="36">
        <f>IF(AG213="0",J213,0)</f>
        <v>0</v>
      </c>
      <c r="Y213" s="29"/>
      <c r="Z213" s="20">
        <f>IF(AD213=0,J213,0)</f>
        <v>0</v>
      </c>
      <c r="AA213" s="20">
        <f>IF(AD213=15,J213,0)</f>
        <v>0</v>
      </c>
      <c r="AB213" s="20">
        <f>IF(AD213=21,J213,0)</f>
        <v>0</v>
      </c>
      <c r="AD213" s="36">
        <v>21</v>
      </c>
      <c r="AE213" s="36">
        <f>G213*0.0165317919075144</f>
        <v>0</v>
      </c>
      <c r="AF213" s="36">
        <f>G213*(1-0.0165317919075144)</f>
        <v>0</v>
      </c>
      <c r="AG213" s="32" t="s">
        <v>7</v>
      </c>
      <c r="AM213" s="36">
        <f>F213*AE213</f>
        <v>0</v>
      </c>
      <c r="AN213" s="36">
        <f>F213*AF213</f>
        <v>0</v>
      </c>
      <c r="AO213" s="37" t="s">
        <v>1070</v>
      </c>
      <c r="AP213" s="37" t="s">
        <v>1095</v>
      </c>
      <c r="AQ213" s="29" t="s">
        <v>1101</v>
      </c>
      <c r="AS213" s="36">
        <f>AM213+AN213</f>
        <v>0</v>
      </c>
      <c r="AT213" s="36">
        <f>G213/(100-AU213)*100</f>
        <v>0</v>
      </c>
      <c r="AU213" s="36">
        <v>0</v>
      </c>
      <c r="AV213" s="36">
        <f>L213</f>
        <v>0.004982100000000001</v>
      </c>
    </row>
    <row r="214" spans="1:48" ht="12.75">
      <c r="A214" s="4" t="s">
        <v>93</v>
      </c>
      <c r="B214" s="4"/>
      <c r="C214" s="4" t="s">
        <v>341</v>
      </c>
      <c r="D214" s="4" t="s">
        <v>717</v>
      </c>
      <c r="E214" s="4" t="s">
        <v>1015</v>
      </c>
      <c r="F214" s="20">
        <v>498.07825</v>
      </c>
      <c r="G214" s="20">
        <v>0</v>
      </c>
      <c r="H214" s="20">
        <f>F214*AE214</f>
        <v>0</v>
      </c>
      <c r="I214" s="20">
        <f>J214-H214</f>
        <v>0</v>
      </c>
      <c r="J214" s="20">
        <f>F214*G214</f>
        <v>0</v>
      </c>
      <c r="K214" s="20">
        <v>0</v>
      </c>
      <c r="L214" s="20">
        <f>F214*K214</f>
        <v>0</v>
      </c>
      <c r="M214" s="32" t="s">
        <v>1040</v>
      </c>
      <c r="P214" s="36">
        <f>IF(AG214="5",J214,0)</f>
        <v>0</v>
      </c>
      <c r="R214" s="36">
        <f>IF(AG214="1",H214,0)</f>
        <v>0</v>
      </c>
      <c r="S214" s="36">
        <f>IF(AG214="1",I214,0)</f>
        <v>0</v>
      </c>
      <c r="T214" s="36">
        <f>IF(AG214="7",H214,0)</f>
        <v>0</v>
      </c>
      <c r="U214" s="36">
        <f>IF(AG214="7",I214,0)</f>
        <v>0</v>
      </c>
      <c r="V214" s="36">
        <f>IF(AG214="2",H214,0)</f>
        <v>0</v>
      </c>
      <c r="W214" s="36">
        <f>IF(AG214="2",I214,0)</f>
        <v>0</v>
      </c>
      <c r="X214" s="36">
        <f>IF(AG214="0",J214,0)</f>
        <v>0</v>
      </c>
      <c r="Y214" s="29"/>
      <c r="Z214" s="20">
        <f>IF(AD214=0,J214,0)</f>
        <v>0</v>
      </c>
      <c r="AA214" s="20">
        <f>IF(AD214=15,J214,0)</f>
        <v>0</v>
      </c>
      <c r="AB214" s="20">
        <f>IF(AD214=21,J214,0)</f>
        <v>0</v>
      </c>
      <c r="AD214" s="36">
        <v>21</v>
      </c>
      <c r="AE214" s="36">
        <f>G214*0</f>
        <v>0</v>
      </c>
      <c r="AF214" s="36">
        <f>G214*(1-0)</f>
        <v>0</v>
      </c>
      <c r="AG214" s="32" t="s">
        <v>11</v>
      </c>
      <c r="AM214" s="36">
        <f>F214*AE214</f>
        <v>0</v>
      </c>
      <c r="AN214" s="36">
        <f>F214*AF214</f>
        <v>0</v>
      </c>
      <c r="AO214" s="37" t="s">
        <v>1070</v>
      </c>
      <c r="AP214" s="37" t="s">
        <v>1095</v>
      </c>
      <c r="AQ214" s="29" t="s">
        <v>1101</v>
      </c>
      <c r="AS214" s="36">
        <f>AM214+AN214</f>
        <v>0</v>
      </c>
      <c r="AT214" s="36">
        <f>G214/(100-AU214)*100</f>
        <v>0</v>
      </c>
      <c r="AU214" s="36">
        <v>0</v>
      </c>
      <c r="AV214" s="36">
        <f>L214</f>
        <v>0</v>
      </c>
    </row>
    <row r="215" spans="1:37" ht="12.75">
      <c r="A215" s="5"/>
      <c r="B215" s="13"/>
      <c r="C215" s="13" t="s">
        <v>342</v>
      </c>
      <c r="D215" s="93" t="s">
        <v>718</v>
      </c>
      <c r="E215" s="94"/>
      <c r="F215" s="94"/>
      <c r="G215" s="94"/>
      <c r="H215" s="39">
        <f>SUM(H216:H217)</f>
        <v>0</v>
      </c>
      <c r="I215" s="39">
        <f>SUM(I216:I217)</f>
        <v>0</v>
      </c>
      <c r="J215" s="39">
        <f>H215+I215</f>
        <v>0</v>
      </c>
      <c r="K215" s="29"/>
      <c r="L215" s="39">
        <f>SUM(L216:L217)</f>
        <v>0.0155</v>
      </c>
      <c r="M215" s="29"/>
      <c r="Y215" s="29"/>
      <c r="AI215" s="39">
        <f>SUM(Z216:Z217)</f>
        <v>0</v>
      </c>
      <c r="AJ215" s="39">
        <f>SUM(AA216:AA217)</f>
        <v>0</v>
      </c>
      <c r="AK215" s="39">
        <f>SUM(AB216:AB217)</f>
        <v>0</v>
      </c>
    </row>
    <row r="216" spans="1:48" ht="12.75">
      <c r="A216" s="4" t="s">
        <v>94</v>
      </c>
      <c r="B216" s="4"/>
      <c r="C216" s="4" t="s">
        <v>343</v>
      </c>
      <c r="D216" s="4" t="s">
        <v>719</v>
      </c>
      <c r="E216" s="4" t="s">
        <v>1018</v>
      </c>
      <c r="F216" s="20">
        <v>1</v>
      </c>
      <c r="G216" s="20">
        <v>0</v>
      </c>
      <c r="H216" s="20">
        <f>F216*AE216</f>
        <v>0</v>
      </c>
      <c r="I216" s="20">
        <f>J216-H216</f>
        <v>0</v>
      </c>
      <c r="J216" s="20">
        <f>F216*G216</f>
        <v>0</v>
      </c>
      <c r="K216" s="20">
        <v>0</v>
      </c>
      <c r="L216" s="20">
        <f>F216*K216</f>
        <v>0</v>
      </c>
      <c r="M216" s="32"/>
      <c r="P216" s="36">
        <f>IF(AG216="5",J216,0)</f>
        <v>0</v>
      </c>
      <c r="R216" s="36">
        <f>IF(AG216="1",H216,0)</f>
        <v>0</v>
      </c>
      <c r="S216" s="36">
        <f>IF(AG216="1",I216,0)</f>
        <v>0</v>
      </c>
      <c r="T216" s="36">
        <f>IF(AG216="7",H216,0)</f>
        <v>0</v>
      </c>
      <c r="U216" s="36">
        <f>IF(AG216="7",I216,0)</f>
        <v>0</v>
      </c>
      <c r="V216" s="36">
        <f>IF(AG216="2",H216,0)</f>
        <v>0</v>
      </c>
      <c r="W216" s="36">
        <f>IF(AG216="2",I216,0)</f>
        <v>0</v>
      </c>
      <c r="X216" s="36">
        <f>IF(AG216="0",J216,0)</f>
        <v>0</v>
      </c>
      <c r="Y216" s="29"/>
      <c r="Z216" s="20">
        <f>IF(AD216=0,J216,0)</f>
        <v>0</v>
      </c>
      <c r="AA216" s="20">
        <f>IF(AD216=15,J216,0)</f>
        <v>0</v>
      </c>
      <c r="AB216" s="20">
        <f>IF(AD216=21,J216,0)</f>
        <v>0</v>
      </c>
      <c r="AD216" s="36">
        <v>21</v>
      </c>
      <c r="AE216" s="36">
        <f>G216*0</f>
        <v>0</v>
      </c>
      <c r="AF216" s="36">
        <f>G216*(1-0)</f>
        <v>0</v>
      </c>
      <c r="AG216" s="32" t="s">
        <v>7</v>
      </c>
      <c r="AM216" s="36">
        <f>F216*AE216</f>
        <v>0</v>
      </c>
      <c r="AN216" s="36">
        <f>F216*AF216</f>
        <v>0</v>
      </c>
      <c r="AO216" s="37" t="s">
        <v>1071</v>
      </c>
      <c r="AP216" s="37" t="s">
        <v>1095</v>
      </c>
      <c r="AQ216" s="29" t="s">
        <v>1101</v>
      </c>
      <c r="AS216" s="36">
        <f>AM216+AN216</f>
        <v>0</v>
      </c>
      <c r="AT216" s="36">
        <f>G216/(100-AU216)*100</f>
        <v>0</v>
      </c>
      <c r="AU216" s="36">
        <v>0</v>
      </c>
      <c r="AV216" s="36">
        <f>L216</f>
        <v>0</v>
      </c>
    </row>
    <row r="217" spans="1:48" ht="12.75">
      <c r="A217" s="6" t="s">
        <v>95</v>
      </c>
      <c r="B217" s="6"/>
      <c r="C217" s="6" t="s">
        <v>344</v>
      </c>
      <c r="D217" s="6" t="s">
        <v>720</v>
      </c>
      <c r="E217" s="6" t="s">
        <v>1018</v>
      </c>
      <c r="F217" s="22">
        <v>1</v>
      </c>
      <c r="G217" s="22">
        <v>0</v>
      </c>
      <c r="H217" s="22">
        <f>F217*AE217</f>
        <v>0</v>
      </c>
      <c r="I217" s="22">
        <f>J217-H217</f>
        <v>0</v>
      </c>
      <c r="J217" s="22">
        <f>F217*G217</f>
        <v>0</v>
      </c>
      <c r="K217" s="22">
        <v>0.0155</v>
      </c>
      <c r="L217" s="22">
        <f>F217*K217</f>
        <v>0.0155</v>
      </c>
      <c r="M217" s="33" t="s">
        <v>1040</v>
      </c>
      <c r="P217" s="36">
        <f>IF(AG217="5",J217,0)</f>
        <v>0</v>
      </c>
      <c r="R217" s="36">
        <f>IF(AG217="1",H217,0)</f>
        <v>0</v>
      </c>
      <c r="S217" s="36">
        <f>IF(AG217="1",I217,0)</f>
        <v>0</v>
      </c>
      <c r="T217" s="36">
        <f>IF(AG217="7",H217,0)</f>
        <v>0</v>
      </c>
      <c r="U217" s="36">
        <f>IF(AG217="7",I217,0)</f>
        <v>0</v>
      </c>
      <c r="V217" s="36">
        <f>IF(AG217="2",H217,0)</f>
        <v>0</v>
      </c>
      <c r="W217" s="36">
        <f>IF(AG217="2",I217,0)</f>
        <v>0</v>
      </c>
      <c r="X217" s="36">
        <f>IF(AG217="0",J217,0)</f>
        <v>0</v>
      </c>
      <c r="Y217" s="29"/>
      <c r="Z217" s="22">
        <f>IF(AD217=0,J217,0)</f>
        <v>0</v>
      </c>
      <c r="AA217" s="22">
        <f>IF(AD217=15,J217,0)</f>
        <v>0</v>
      </c>
      <c r="AB217" s="22">
        <f>IF(AD217=21,J217,0)</f>
        <v>0</v>
      </c>
      <c r="AD217" s="36">
        <v>21</v>
      </c>
      <c r="AE217" s="36">
        <f>G217*1</f>
        <v>0</v>
      </c>
      <c r="AF217" s="36">
        <f>G217*(1-1)</f>
        <v>0</v>
      </c>
      <c r="AG217" s="33" t="s">
        <v>7</v>
      </c>
      <c r="AM217" s="36">
        <f>F217*AE217</f>
        <v>0</v>
      </c>
      <c r="AN217" s="36">
        <f>F217*AF217</f>
        <v>0</v>
      </c>
      <c r="AO217" s="37" t="s">
        <v>1071</v>
      </c>
      <c r="AP217" s="37" t="s">
        <v>1095</v>
      </c>
      <c r="AQ217" s="29" t="s">
        <v>1101</v>
      </c>
      <c r="AS217" s="36">
        <f>AM217+AN217</f>
        <v>0</v>
      </c>
      <c r="AT217" s="36">
        <f>G217/(100-AU217)*100</f>
        <v>0</v>
      </c>
      <c r="AU217" s="36">
        <v>0</v>
      </c>
      <c r="AV217" s="36">
        <f>L217</f>
        <v>0.0155</v>
      </c>
    </row>
    <row r="218" spans="3:13" ht="12.75">
      <c r="C218" s="14" t="s">
        <v>255</v>
      </c>
      <c r="D218" s="91" t="s">
        <v>721</v>
      </c>
      <c r="E218" s="92"/>
      <c r="F218" s="92"/>
      <c r="G218" s="92"/>
      <c r="H218" s="92"/>
      <c r="I218" s="92"/>
      <c r="J218" s="92"/>
      <c r="K218" s="92"/>
      <c r="L218" s="92"/>
      <c r="M218" s="92"/>
    </row>
    <row r="219" spans="1:37" ht="12.75">
      <c r="A219" s="5"/>
      <c r="B219" s="13"/>
      <c r="C219" s="13" t="s">
        <v>345</v>
      </c>
      <c r="D219" s="93" t="s">
        <v>722</v>
      </c>
      <c r="E219" s="94"/>
      <c r="F219" s="94"/>
      <c r="G219" s="94"/>
      <c r="H219" s="39">
        <f>SUM(H220:H239)</f>
        <v>0</v>
      </c>
      <c r="I219" s="39">
        <f>SUM(I220:I239)</f>
        <v>0</v>
      </c>
      <c r="J219" s="39">
        <f>H219+I219</f>
        <v>0</v>
      </c>
      <c r="K219" s="29"/>
      <c r="L219" s="39">
        <f>SUM(L220:L239)</f>
        <v>1.1880701</v>
      </c>
      <c r="M219" s="29"/>
      <c r="Y219" s="29"/>
      <c r="AI219" s="39">
        <f>SUM(Z220:Z239)</f>
        <v>0</v>
      </c>
      <c r="AJ219" s="39">
        <f>SUM(AA220:AA239)</f>
        <v>0</v>
      </c>
      <c r="AK219" s="39">
        <f>SUM(AB220:AB239)</f>
        <v>0</v>
      </c>
    </row>
    <row r="220" spans="1:48" ht="12.75">
      <c r="A220" s="4" t="s">
        <v>96</v>
      </c>
      <c r="B220" s="4"/>
      <c r="C220" s="4" t="s">
        <v>346</v>
      </c>
      <c r="D220" s="4" t="s">
        <v>723</v>
      </c>
      <c r="E220" s="4" t="s">
        <v>1016</v>
      </c>
      <c r="F220" s="20">
        <v>149.06</v>
      </c>
      <c r="G220" s="20">
        <v>0</v>
      </c>
      <c r="H220" s="20">
        <f>F220*AE220</f>
        <v>0</v>
      </c>
      <c r="I220" s="20">
        <f>J220-H220</f>
        <v>0</v>
      </c>
      <c r="J220" s="20">
        <f>F220*G220</f>
        <v>0</v>
      </c>
      <c r="K220" s="20">
        <v>0</v>
      </c>
      <c r="L220" s="20">
        <f>F220*K220</f>
        <v>0</v>
      </c>
      <c r="M220" s="32" t="s">
        <v>1040</v>
      </c>
      <c r="P220" s="36">
        <f>IF(AG220="5",J220,0)</f>
        <v>0</v>
      </c>
      <c r="R220" s="36">
        <f>IF(AG220="1",H220,0)</f>
        <v>0</v>
      </c>
      <c r="S220" s="36">
        <f>IF(AG220="1",I220,0)</f>
        <v>0</v>
      </c>
      <c r="T220" s="36">
        <f>IF(AG220="7",H220,0)</f>
        <v>0</v>
      </c>
      <c r="U220" s="36">
        <f>IF(AG220="7",I220,0)</f>
        <v>0</v>
      </c>
      <c r="V220" s="36">
        <f>IF(AG220="2",H220,0)</f>
        <v>0</v>
      </c>
      <c r="W220" s="36">
        <f>IF(AG220="2",I220,0)</f>
        <v>0</v>
      </c>
      <c r="X220" s="36">
        <f>IF(AG220="0",J220,0)</f>
        <v>0</v>
      </c>
      <c r="Y220" s="29"/>
      <c r="Z220" s="20">
        <f>IF(AD220=0,J220,0)</f>
        <v>0</v>
      </c>
      <c r="AA220" s="20">
        <f>IF(AD220=15,J220,0)</f>
        <v>0</v>
      </c>
      <c r="AB220" s="20">
        <f>IF(AD220=21,J220,0)</f>
        <v>0</v>
      </c>
      <c r="AD220" s="36">
        <v>21</v>
      </c>
      <c r="AE220" s="36">
        <f>G220*0</f>
        <v>0</v>
      </c>
      <c r="AF220" s="36">
        <f>G220*(1-0)</f>
        <v>0</v>
      </c>
      <c r="AG220" s="32" t="s">
        <v>13</v>
      </c>
      <c r="AM220" s="36">
        <f>F220*AE220</f>
        <v>0</v>
      </c>
      <c r="AN220" s="36">
        <f>F220*AF220</f>
        <v>0</v>
      </c>
      <c r="AO220" s="37" t="s">
        <v>1072</v>
      </c>
      <c r="AP220" s="37" t="s">
        <v>1096</v>
      </c>
      <c r="AQ220" s="29" t="s">
        <v>1101</v>
      </c>
      <c r="AS220" s="36">
        <f>AM220+AN220</f>
        <v>0</v>
      </c>
      <c r="AT220" s="36">
        <f>G220/(100-AU220)*100</f>
        <v>0</v>
      </c>
      <c r="AU220" s="36">
        <v>0</v>
      </c>
      <c r="AV220" s="36">
        <f>L220</f>
        <v>0</v>
      </c>
    </row>
    <row r="221" spans="4:6" ht="12.75">
      <c r="D221" s="17" t="s">
        <v>724</v>
      </c>
      <c r="F221" s="21">
        <v>149.06</v>
      </c>
    </row>
    <row r="222" spans="1:48" ht="12.75">
      <c r="A222" s="4" t="s">
        <v>97</v>
      </c>
      <c r="B222" s="4"/>
      <c r="C222" s="4" t="s">
        <v>347</v>
      </c>
      <c r="D222" s="4" t="s">
        <v>725</v>
      </c>
      <c r="E222" s="4" t="s">
        <v>1016</v>
      </c>
      <c r="F222" s="20">
        <v>149.06</v>
      </c>
      <c r="G222" s="20">
        <v>0</v>
      </c>
      <c r="H222" s="20">
        <f>F222*AE222</f>
        <v>0</v>
      </c>
      <c r="I222" s="20">
        <f>J222-H222</f>
        <v>0</v>
      </c>
      <c r="J222" s="20">
        <f>F222*G222</f>
        <v>0</v>
      </c>
      <c r="K222" s="20">
        <v>0.00041</v>
      </c>
      <c r="L222" s="20">
        <f>F222*K222</f>
        <v>0.0611146</v>
      </c>
      <c r="M222" s="32" t="s">
        <v>1040</v>
      </c>
      <c r="P222" s="36">
        <f>IF(AG222="5",J222,0)</f>
        <v>0</v>
      </c>
      <c r="R222" s="36">
        <f>IF(AG222="1",H222,0)</f>
        <v>0</v>
      </c>
      <c r="S222" s="36">
        <f>IF(AG222="1",I222,0)</f>
        <v>0</v>
      </c>
      <c r="T222" s="36">
        <f>IF(AG222="7",H222,0)</f>
        <v>0</v>
      </c>
      <c r="U222" s="36">
        <f>IF(AG222="7",I222,0)</f>
        <v>0</v>
      </c>
      <c r="V222" s="36">
        <f>IF(AG222="2",H222,0)</f>
        <v>0</v>
      </c>
      <c r="W222" s="36">
        <f>IF(AG222="2",I222,0)</f>
        <v>0</v>
      </c>
      <c r="X222" s="36">
        <f>IF(AG222="0",J222,0)</f>
        <v>0</v>
      </c>
      <c r="Y222" s="29"/>
      <c r="Z222" s="20">
        <f>IF(AD222=0,J222,0)</f>
        <v>0</v>
      </c>
      <c r="AA222" s="20">
        <f>IF(AD222=15,J222,0)</f>
        <v>0</v>
      </c>
      <c r="AB222" s="20">
        <f>IF(AD222=21,J222,0)</f>
        <v>0</v>
      </c>
      <c r="AD222" s="36">
        <v>21</v>
      </c>
      <c r="AE222" s="36">
        <f>G222*0.093559718969555</f>
        <v>0</v>
      </c>
      <c r="AF222" s="36">
        <f>G222*(1-0.093559718969555)</f>
        <v>0</v>
      </c>
      <c r="AG222" s="32" t="s">
        <v>13</v>
      </c>
      <c r="AM222" s="36">
        <f>F222*AE222</f>
        <v>0</v>
      </c>
      <c r="AN222" s="36">
        <f>F222*AF222</f>
        <v>0</v>
      </c>
      <c r="AO222" s="37" t="s">
        <v>1072</v>
      </c>
      <c r="AP222" s="37" t="s">
        <v>1096</v>
      </c>
      <c r="AQ222" s="29" t="s">
        <v>1101</v>
      </c>
      <c r="AS222" s="36">
        <f>AM222+AN222</f>
        <v>0</v>
      </c>
      <c r="AT222" s="36">
        <f>G222/(100-AU222)*100</f>
        <v>0</v>
      </c>
      <c r="AU222" s="36">
        <v>0</v>
      </c>
      <c r="AV222" s="36">
        <f>L222</f>
        <v>0.0611146</v>
      </c>
    </row>
    <row r="223" spans="1:48" ht="12.75">
      <c r="A223" s="4" t="s">
        <v>98</v>
      </c>
      <c r="B223" s="4"/>
      <c r="C223" s="4" t="s">
        <v>348</v>
      </c>
      <c r="D223" s="4" t="s">
        <v>726</v>
      </c>
      <c r="E223" s="4" t="s">
        <v>1016</v>
      </c>
      <c r="F223" s="20">
        <v>81.314</v>
      </c>
      <c r="G223" s="20">
        <v>0</v>
      </c>
      <c r="H223" s="20">
        <f>F223*AE223</f>
        <v>0</v>
      </c>
      <c r="I223" s="20">
        <f>J223-H223</f>
        <v>0</v>
      </c>
      <c r="J223" s="20">
        <f>F223*G223</f>
        <v>0</v>
      </c>
      <c r="K223" s="20">
        <v>0.0034</v>
      </c>
      <c r="L223" s="20">
        <f>F223*K223</f>
        <v>0.2764676</v>
      </c>
      <c r="M223" s="32" t="s">
        <v>1040</v>
      </c>
      <c r="P223" s="36">
        <f>IF(AG223="5",J223,0)</f>
        <v>0</v>
      </c>
      <c r="R223" s="36">
        <f>IF(AG223="1",H223,0)</f>
        <v>0</v>
      </c>
      <c r="S223" s="36">
        <f>IF(AG223="1",I223,0)</f>
        <v>0</v>
      </c>
      <c r="T223" s="36">
        <f>IF(AG223="7",H223,0)</f>
        <v>0</v>
      </c>
      <c r="U223" s="36">
        <f>IF(AG223="7",I223,0)</f>
        <v>0</v>
      </c>
      <c r="V223" s="36">
        <f>IF(AG223="2",H223,0)</f>
        <v>0</v>
      </c>
      <c r="W223" s="36">
        <f>IF(AG223="2",I223,0)</f>
        <v>0</v>
      </c>
      <c r="X223" s="36">
        <f>IF(AG223="0",J223,0)</f>
        <v>0</v>
      </c>
      <c r="Y223" s="29"/>
      <c r="Z223" s="20">
        <f>IF(AD223=0,J223,0)</f>
        <v>0</v>
      </c>
      <c r="AA223" s="20">
        <f>IF(AD223=15,J223,0)</f>
        <v>0</v>
      </c>
      <c r="AB223" s="20">
        <f>IF(AD223=21,J223,0)</f>
        <v>0</v>
      </c>
      <c r="AD223" s="36">
        <v>21</v>
      </c>
      <c r="AE223" s="36">
        <f>G223*0.711026853607217</f>
        <v>0</v>
      </c>
      <c r="AF223" s="36">
        <f>G223*(1-0.711026853607217)</f>
        <v>0</v>
      </c>
      <c r="AG223" s="32" t="s">
        <v>13</v>
      </c>
      <c r="AM223" s="36">
        <f>F223*AE223</f>
        <v>0</v>
      </c>
      <c r="AN223" s="36">
        <f>F223*AF223</f>
        <v>0</v>
      </c>
      <c r="AO223" s="37" t="s">
        <v>1072</v>
      </c>
      <c r="AP223" s="37" t="s">
        <v>1096</v>
      </c>
      <c r="AQ223" s="29" t="s">
        <v>1101</v>
      </c>
      <c r="AS223" s="36">
        <f>AM223+AN223</f>
        <v>0</v>
      </c>
      <c r="AT223" s="36">
        <f>G223/(100-AU223)*100</f>
        <v>0</v>
      </c>
      <c r="AU223" s="36">
        <v>0</v>
      </c>
      <c r="AV223" s="36">
        <f>L223</f>
        <v>0.2764676</v>
      </c>
    </row>
    <row r="224" spans="4:6" ht="12.75">
      <c r="D224" s="17" t="s">
        <v>727</v>
      </c>
      <c r="F224" s="21">
        <v>60.548</v>
      </c>
    </row>
    <row r="225" spans="4:6" ht="12.75">
      <c r="D225" s="17" t="s">
        <v>728</v>
      </c>
      <c r="F225" s="21">
        <v>20.766</v>
      </c>
    </row>
    <row r="226" spans="3:13" ht="12.75">
      <c r="C226" s="14" t="s">
        <v>255</v>
      </c>
      <c r="D226" s="91" t="s">
        <v>729</v>
      </c>
      <c r="E226" s="92"/>
      <c r="F226" s="92"/>
      <c r="G226" s="92"/>
      <c r="H226" s="92"/>
      <c r="I226" s="92"/>
      <c r="J226" s="92"/>
      <c r="K226" s="92"/>
      <c r="L226" s="92"/>
      <c r="M226" s="92"/>
    </row>
    <row r="227" spans="1:48" ht="12.75">
      <c r="A227" s="4" t="s">
        <v>99</v>
      </c>
      <c r="B227" s="4"/>
      <c r="C227" s="4" t="s">
        <v>349</v>
      </c>
      <c r="D227" s="4" t="s">
        <v>730</v>
      </c>
      <c r="E227" s="4" t="s">
        <v>1019</v>
      </c>
      <c r="F227" s="20">
        <v>100.36</v>
      </c>
      <c r="G227" s="20">
        <v>0</v>
      </c>
      <c r="H227" s="20">
        <f>F227*AE227</f>
        <v>0</v>
      </c>
      <c r="I227" s="20">
        <f>J227-H227</f>
        <v>0</v>
      </c>
      <c r="J227" s="20">
        <f>F227*G227</f>
        <v>0</v>
      </c>
      <c r="K227" s="20">
        <v>0.00029</v>
      </c>
      <c r="L227" s="20">
        <f>F227*K227</f>
        <v>0.0291044</v>
      </c>
      <c r="M227" s="32" t="s">
        <v>1040</v>
      </c>
      <c r="P227" s="36">
        <f>IF(AG227="5",J227,0)</f>
        <v>0</v>
      </c>
      <c r="R227" s="36">
        <f>IF(AG227="1",H227,0)</f>
        <v>0</v>
      </c>
      <c r="S227" s="36">
        <f>IF(AG227="1",I227,0)</f>
        <v>0</v>
      </c>
      <c r="T227" s="36">
        <f>IF(AG227="7",H227,0)</f>
        <v>0</v>
      </c>
      <c r="U227" s="36">
        <f>IF(AG227="7",I227,0)</f>
        <v>0</v>
      </c>
      <c r="V227" s="36">
        <f>IF(AG227="2",H227,0)</f>
        <v>0</v>
      </c>
      <c r="W227" s="36">
        <f>IF(AG227="2",I227,0)</f>
        <v>0</v>
      </c>
      <c r="X227" s="36">
        <f>IF(AG227="0",J227,0)</f>
        <v>0</v>
      </c>
      <c r="Y227" s="29"/>
      <c r="Z227" s="20">
        <f>IF(AD227=0,J227,0)</f>
        <v>0</v>
      </c>
      <c r="AA227" s="20">
        <f>IF(AD227=15,J227,0)</f>
        <v>0</v>
      </c>
      <c r="AB227" s="20">
        <f>IF(AD227=21,J227,0)</f>
        <v>0</v>
      </c>
      <c r="AD227" s="36">
        <v>21</v>
      </c>
      <c r="AE227" s="36">
        <f>G227*0.715965302172199</f>
        <v>0</v>
      </c>
      <c r="AF227" s="36">
        <f>G227*(1-0.715965302172199)</f>
        <v>0</v>
      </c>
      <c r="AG227" s="32" t="s">
        <v>13</v>
      </c>
      <c r="AM227" s="36">
        <f>F227*AE227</f>
        <v>0</v>
      </c>
      <c r="AN227" s="36">
        <f>F227*AF227</f>
        <v>0</v>
      </c>
      <c r="AO227" s="37" t="s">
        <v>1072</v>
      </c>
      <c r="AP227" s="37" t="s">
        <v>1096</v>
      </c>
      <c r="AQ227" s="29" t="s">
        <v>1101</v>
      </c>
      <c r="AS227" s="36">
        <f>AM227+AN227</f>
        <v>0</v>
      </c>
      <c r="AT227" s="36">
        <f>G227/(100-AU227)*100</f>
        <v>0</v>
      </c>
      <c r="AU227" s="36">
        <v>0</v>
      </c>
      <c r="AV227" s="36">
        <f>L227</f>
        <v>0.0291044</v>
      </c>
    </row>
    <row r="228" spans="4:6" ht="12.75">
      <c r="D228" s="17" t="s">
        <v>731</v>
      </c>
      <c r="F228" s="21">
        <v>64.32</v>
      </c>
    </row>
    <row r="229" spans="4:6" ht="12.75">
      <c r="D229" s="17" t="s">
        <v>732</v>
      </c>
      <c r="F229" s="21">
        <v>36.04</v>
      </c>
    </row>
    <row r="230" spans="3:13" ht="12.75">
      <c r="C230" s="14" t="s">
        <v>255</v>
      </c>
      <c r="D230" s="91" t="s">
        <v>733</v>
      </c>
      <c r="E230" s="92"/>
      <c r="F230" s="92"/>
      <c r="G230" s="92"/>
      <c r="H230" s="92"/>
      <c r="I230" s="92"/>
      <c r="J230" s="92"/>
      <c r="K230" s="92"/>
      <c r="L230" s="92"/>
      <c r="M230" s="92"/>
    </row>
    <row r="231" spans="1:48" ht="12.75">
      <c r="A231" s="4" t="s">
        <v>100</v>
      </c>
      <c r="B231" s="4"/>
      <c r="C231" s="4" t="s">
        <v>350</v>
      </c>
      <c r="D231" s="4" t="s">
        <v>734</v>
      </c>
      <c r="E231" s="4" t="s">
        <v>1018</v>
      </c>
      <c r="F231" s="20">
        <v>48</v>
      </c>
      <c r="G231" s="20">
        <v>0</v>
      </c>
      <c r="H231" s="20">
        <f>F231*AE231</f>
        <v>0</v>
      </c>
      <c r="I231" s="20">
        <f>J231-H231</f>
        <v>0</v>
      </c>
      <c r="J231" s="20">
        <f>F231*G231</f>
        <v>0</v>
      </c>
      <c r="K231" s="20">
        <v>0.00011</v>
      </c>
      <c r="L231" s="20">
        <f>F231*K231</f>
        <v>0.00528</v>
      </c>
      <c r="M231" s="32" t="s">
        <v>1040</v>
      </c>
      <c r="P231" s="36">
        <f>IF(AG231="5",J231,0)</f>
        <v>0</v>
      </c>
      <c r="R231" s="36">
        <f>IF(AG231="1",H231,0)</f>
        <v>0</v>
      </c>
      <c r="S231" s="36">
        <f>IF(AG231="1",I231,0)</f>
        <v>0</v>
      </c>
      <c r="T231" s="36">
        <f>IF(AG231="7",H231,0)</f>
        <v>0</v>
      </c>
      <c r="U231" s="36">
        <f>IF(AG231="7",I231,0)</f>
        <v>0</v>
      </c>
      <c r="V231" s="36">
        <f>IF(AG231="2",H231,0)</f>
        <v>0</v>
      </c>
      <c r="W231" s="36">
        <f>IF(AG231="2",I231,0)</f>
        <v>0</v>
      </c>
      <c r="X231" s="36">
        <f>IF(AG231="0",J231,0)</f>
        <v>0</v>
      </c>
      <c r="Y231" s="29"/>
      <c r="Z231" s="20">
        <f>IF(AD231=0,J231,0)</f>
        <v>0</v>
      </c>
      <c r="AA231" s="20">
        <f>IF(AD231=15,J231,0)</f>
        <v>0</v>
      </c>
      <c r="AB231" s="20">
        <f>IF(AD231=21,J231,0)</f>
        <v>0</v>
      </c>
      <c r="AD231" s="36">
        <v>21</v>
      </c>
      <c r="AE231" s="36">
        <f>G231*0.883472631528093</f>
        <v>0</v>
      </c>
      <c r="AF231" s="36">
        <f>G231*(1-0.883472631528093)</f>
        <v>0</v>
      </c>
      <c r="AG231" s="32" t="s">
        <v>13</v>
      </c>
      <c r="AM231" s="36">
        <f>F231*AE231</f>
        <v>0</v>
      </c>
      <c r="AN231" s="36">
        <f>F231*AF231</f>
        <v>0</v>
      </c>
      <c r="AO231" s="37" t="s">
        <v>1072</v>
      </c>
      <c r="AP231" s="37" t="s">
        <v>1096</v>
      </c>
      <c r="AQ231" s="29" t="s">
        <v>1101</v>
      </c>
      <c r="AS231" s="36">
        <f>AM231+AN231</f>
        <v>0</v>
      </c>
      <c r="AT231" s="36">
        <f>G231/(100-AU231)*100</f>
        <v>0</v>
      </c>
      <c r="AU231" s="36">
        <v>0</v>
      </c>
      <c r="AV231" s="36">
        <f>L231</f>
        <v>0.00528</v>
      </c>
    </row>
    <row r="232" spans="4:6" ht="12.75">
      <c r="D232" s="17" t="s">
        <v>735</v>
      </c>
      <c r="F232" s="21">
        <v>48</v>
      </c>
    </row>
    <row r="233" spans="3:13" ht="12.75">
      <c r="C233" s="14" t="s">
        <v>255</v>
      </c>
      <c r="D233" s="91" t="s">
        <v>736</v>
      </c>
      <c r="E233" s="92"/>
      <c r="F233" s="92"/>
      <c r="G233" s="92"/>
      <c r="H233" s="92"/>
      <c r="I233" s="92"/>
      <c r="J233" s="92"/>
      <c r="K233" s="92"/>
      <c r="L233" s="92"/>
      <c r="M233" s="92"/>
    </row>
    <row r="234" spans="1:48" ht="12.75">
      <c r="A234" s="6" t="s">
        <v>101</v>
      </c>
      <c r="B234" s="6"/>
      <c r="C234" s="6" t="s">
        <v>351</v>
      </c>
      <c r="D234" s="6" t="s">
        <v>737</v>
      </c>
      <c r="E234" s="6" t="s">
        <v>1017</v>
      </c>
      <c r="F234" s="22">
        <v>44.718</v>
      </c>
      <c r="G234" s="22">
        <v>0</v>
      </c>
      <c r="H234" s="22">
        <f>F234*AE234</f>
        <v>0</v>
      </c>
      <c r="I234" s="22">
        <f>J234-H234</f>
        <v>0</v>
      </c>
      <c r="J234" s="22">
        <f>F234*G234</f>
        <v>0</v>
      </c>
      <c r="K234" s="22">
        <v>0.001</v>
      </c>
      <c r="L234" s="22">
        <f>F234*K234</f>
        <v>0.04471800000000001</v>
      </c>
      <c r="M234" s="33" t="s">
        <v>1040</v>
      </c>
      <c r="P234" s="36">
        <f>IF(AG234="5",J234,0)</f>
        <v>0</v>
      </c>
      <c r="R234" s="36">
        <f>IF(AG234="1",H234,0)</f>
        <v>0</v>
      </c>
      <c r="S234" s="36">
        <f>IF(AG234="1",I234,0)</f>
        <v>0</v>
      </c>
      <c r="T234" s="36">
        <f>IF(AG234="7",H234,0)</f>
        <v>0</v>
      </c>
      <c r="U234" s="36">
        <f>IF(AG234="7",I234,0)</f>
        <v>0</v>
      </c>
      <c r="V234" s="36">
        <f>IF(AG234="2",H234,0)</f>
        <v>0</v>
      </c>
      <c r="W234" s="36">
        <f>IF(AG234="2",I234,0)</f>
        <v>0</v>
      </c>
      <c r="X234" s="36">
        <f>IF(AG234="0",J234,0)</f>
        <v>0</v>
      </c>
      <c r="Y234" s="29"/>
      <c r="Z234" s="22">
        <f>IF(AD234=0,J234,0)</f>
        <v>0</v>
      </c>
      <c r="AA234" s="22">
        <f>IF(AD234=15,J234,0)</f>
        <v>0</v>
      </c>
      <c r="AB234" s="22">
        <f>IF(AD234=21,J234,0)</f>
        <v>0</v>
      </c>
      <c r="AD234" s="36">
        <v>21</v>
      </c>
      <c r="AE234" s="36">
        <f>G234*1</f>
        <v>0</v>
      </c>
      <c r="AF234" s="36">
        <f>G234*(1-1)</f>
        <v>0</v>
      </c>
      <c r="AG234" s="33" t="s">
        <v>13</v>
      </c>
      <c r="AM234" s="36">
        <f>F234*AE234</f>
        <v>0</v>
      </c>
      <c r="AN234" s="36">
        <f>F234*AF234</f>
        <v>0</v>
      </c>
      <c r="AO234" s="37" t="s">
        <v>1072</v>
      </c>
      <c r="AP234" s="37" t="s">
        <v>1096</v>
      </c>
      <c r="AQ234" s="29" t="s">
        <v>1101</v>
      </c>
      <c r="AS234" s="36">
        <f>AM234+AN234</f>
        <v>0</v>
      </c>
      <c r="AT234" s="36">
        <f>G234/(100-AU234)*100</f>
        <v>0</v>
      </c>
      <c r="AU234" s="36">
        <v>0</v>
      </c>
      <c r="AV234" s="36">
        <f>L234</f>
        <v>0.04471800000000001</v>
      </c>
    </row>
    <row r="235" spans="4:6" ht="12.75">
      <c r="D235" s="17" t="s">
        <v>738</v>
      </c>
      <c r="F235" s="21">
        <v>44.718</v>
      </c>
    </row>
    <row r="236" spans="1:48" ht="12.75">
      <c r="A236" s="6" t="s">
        <v>102</v>
      </c>
      <c r="B236" s="6"/>
      <c r="C236" s="6" t="s">
        <v>352</v>
      </c>
      <c r="D236" s="6" t="s">
        <v>739</v>
      </c>
      <c r="E236" s="6" t="s">
        <v>1016</v>
      </c>
      <c r="F236" s="22">
        <v>171.419</v>
      </c>
      <c r="G236" s="22">
        <v>0</v>
      </c>
      <c r="H236" s="22">
        <f>F236*AE236</f>
        <v>0</v>
      </c>
      <c r="I236" s="22">
        <f>J236-H236</f>
        <v>0</v>
      </c>
      <c r="J236" s="22">
        <f>F236*G236</f>
        <v>0</v>
      </c>
      <c r="K236" s="22">
        <v>0.0045</v>
      </c>
      <c r="L236" s="22">
        <f>F236*K236</f>
        <v>0.7713855</v>
      </c>
      <c r="M236" s="33" t="s">
        <v>1040</v>
      </c>
      <c r="P236" s="36">
        <f>IF(AG236="5",J236,0)</f>
        <v>0</v>
      </c>
      <c r="R236" s="36">
        <f>IF(AG236="1",H236,0)</f>
        <v>0</v>
      </c>
      <c r="S236" s="36">
        <f>IF(AG236="1",I236,0)</f>
        <v>0</v>
      </c>
      <c r="T236" s="36">
        <f>IF(AG236="7",H236,0)</f>
        <v>0</v>
      </c>
      <c r="U236" s="36">
        <f>IF(AG236="7",I236,0)</f>
        <v>0</v>
      </c>
      <c r="V236" s="36">
        <f>IF(AG236="2",H236,0)</f>
        <v>0</v>
      </c>
      <c r="W236" s="36">
        <f>IF(AG236="2",I236,0)</f>
        <v>0</v>
      </c>
      <c r="X236" s="36">
        <f>IF(AG236="0",J236,0)</f>
        <v>0</v>
      </c>
      <c r="Y236" s="29"/>
      <c r="Z236" s="22">
        <f>IF(AD236=0,J236,0)</f>
        <v>0</v>
      </c>
      <c r="AA236" s="22">
        <f>IF(AD236=15,J236,0)</f>
        <v>0</v>
      </c>
      <c r="AB236" s="22">
        <f>IF(AD236=21,J236,0)</f>
        <v>0</v>
      </c>
      <c r="AD236" s="36">
        <v>21</v>
      </c>
      <c r="AE236" s="36">
        <f>G236*1</f>
        <v>0</v>
      </c>
      <c r="AF236" s="36">
        <f>G236*(1-1)</f>
        <v>0</v>
      </c>
      <c r="AG236" s="33" t="s">
        <v>13</v>
      </c>
      <c r="AM236" s="36">
        <f>F236*AE236</f>
        <v>0</v>
      </c>
      <c r="AN236" s="36">
        <f>F236*AF236</f>
        <v>0</v>
      </c>
      <c r="AO236" s="37" t="s">
        <v>1072</v>
      </c>
      <c r="AP236" s="37" t="s">
        <v>1096</v>
      </c>
      <c r="AQ236" s="29" t="s">
        <v>1101</v>
      </c>
      <c r="AS236" s="36">
        <f>AM236+AN236</f>
        <v>0</v>
      </c>
      <c r="AT236" s="36">
        <f>G236/(100-AU236)*100</f>
        <v>0</v>
      </c>
      <c r="AU236" s="36">
        <v>0</v>
      </c>
      <c r="AV236" s="36">
        <f>L236</f>
        <v>0.7713855</v>
      </c>
    </row>
    <row r="237" spans="4:6" ht="12.75">
      <c r="D237" s="17" t="s">
        <v>740</v>
      </c>
      <c r="F237" s="21">
        <v>149.06</v>
      </c>
    </row>
    <row r="238" spans="4:6" ht="12.75">
      <c r="D238" s="17" t="s">
        <v>741</v>
      </c>
      <c r="F238" s="21">
        <v>22.359</v>
      </c>
    </row>
    <row r="239" spans="1:48" ht="12.75">
      <c r="A239" s="4" t="s">
        <v>103</v>
      </c>
      <c r="B239" s="4"/>
      <c r="C239" s="4" t="s">
        <v>353</v>
      </c>
      <c r="D239" s="4" t="s">
        <v>742</v>
      </c>
      <c r="E239" s="4" t="s">
        <v>1015</v>
      </c>
      <c r="F239" s="20">
        <v>1.18807</v>
      </c>
      <c r="G239" s="20">
        <v>0</v>
      </c>
      <c r="H239" s="20">
        <f>F239*AE239</f>
        <v>0</v>
      </c>
      <c r="I239" s="20">
        <f>J239-H239</f>
        <v>0</v>
      </c>
      <c r="J239" s="20">
        <f>F239*G239</f>
        <v>0</v>
      </c>
      <c r="K239" s="20">
        <v>0</v>
      </c>
      <c r="L239" s="20">
        <f>F239*K239</f>
        <v>0</v>
      </c>
      <c r="M239" s="32" t="s">
        <v>1040</v>
      </c>
      <c r="P239" s="36">
        <f>IF(AG239="5",J239,0)</f>
        <v>0</v>
      </c>
      <c r="R239" s="36">
        <f>IF(AG239="1",H239,0)</f>
        <v>0</v>
      </c>
      <c r="S239" s="36">
        <f>IF(AG239="1",I239,0)</f>
        <v>0</v>
      </c>
      <c r="T239" s="36">
        <f>IF(AG239="7",H239,0)</f>
        <v>0</v>
      </c>
      <c r="U239" s="36">
        <f>IF(AG239="7",I239,0)</f>
        <v>0</v>
      </c>
      <c r="V239" s="36">
        <f>IF(AG239="2",H239,0)</f>
        <v>0</v>
      </c>
      <c r="W239" s="36">
        <f>IF(AG239="2",I239,0)</f>
        <v>0</v>
      </c>
      <c r="X239" s="36">
        <f>IF(AG239="0",J239,0)</f>
        <v>0</v>
      </c>
      <c r="Y239" s="29"/>
      <c r="Z239" s="20">
        <f>IF(AD239=0,J239,0)</f>
        <v>0</v>
      </c>
      <c r="AA239" s="20">
        <f>IF(AD239=15,J239,0)</f>
        <v>0</v>
      </c>
      <c r="AB239" s="20">
        <f>IF(AD239=21,J239,0)</f>
        <v>0</v>
      </c>
      <c r="AD239" s="36">
        <v>21</v>
      </c>
      <c r="AE239" s="36">
        <f>G239*0</f>
        <v>0</v>
      </c>
      <c r="AF239" s="36">
        <f>G239*(1-0)</f>
        <v>0</v>
      </c>
      <c r="AG239" s="32" t="s">
        <v>11</v>
      </c>
      <c r="AM239" s="36">
        <f>F239*AE239</f>
        <v>0</v>
      </c>
      <c r="AN239" s="36">
        <f>F239*AF239</f>
        <v>0</v>
      </c>
      <c r="AO239" s="37" t="s">
        <v>1072</v>
      </c>
      <c r="AP239" s="37" t="s">
        <v>1096</v>
      </c>
      <c r="AQ239" s="29" t="s">
        <v>1101</v>
      </c>
      <c r="AS239" s="36">
        <f>AM239+AN239</f>
        <v>0</v>
      </c>
      <c r="AT239" s="36">
        <f>G239/(100-AU239)*100</f>
        <v>0</v>
      </c>
      <c r="AU239" s="36">
        <v>0</v>
      </c>
      <c r="AV239" s="36">
        <f>L239</f>
        <v>0</v>
      </c>
    </row>
    <row r="240" spans="1:37" ht="12.75">
      <c r="A240" s="5"/>
      <c r="B240" s="13"/>
      <c r="C240" s="13" t="s">
        <v>354</v>
      </c>
      <c r="D240" s="93" t="s">
        <v>743</v>
      </c>
      <c r="E240" s="94"/>
      <c r="F240" s="94"/>
      <c r="G240" s="94"/>
      <c r="H240" s="39">
        <f>SUM(H241:H263)</f>
        <v>0</v>
      </c>
      <c r="I240" s="39">
        <f>SUM(I241:I263)</f>
        <v>0</v>
      </c>
      <c r="J240" s="39">
        <f>H240+I240</f>
        <v>0</v>
      </c>
      <c r="K240" s="29"/>
      <c r="L240" s="39">
        <f>SUM(L241:L263)</f>
        <v>0.972463008</v>
      </c>
      <c r="M240" s="29"/>
      <c r="Y240" s="29"/>
      <c r="AI240" s="39">
        <f>SUM(Z241:Z263)</f>
        <v>0</v>
      </c>
      <c r="AJ240" s="39">
        <f>SUM(AA241:AA263)</f>
        <v>0</v>
      </c>
      <c r="AK240" s="39">
        <f>SUM(AB241:AB263)</f>
        <v>0</v>
      </c>
    </row>
    <row r="241" spans="1:48" ht="12.75">
      <c r="A241" s="4" t="s">
        <v>104</v>
      </c>
      <c r="B241" s="4"/>
      <c r="C241" s="4" t="s">
        <v>355</v>
      </c>
      <c r="D241" s="4" t="s">
        <v>744</v>
      </c>
      <c r="E241" s="4" t="s">
        <v>1016</v>
      </c>
      <c r="F241" s="20">
        <v>441.5184</v>
      </c>
      <c r="G241" s="20">
        <v>0</v>
      </c>
      <c r="H241" s="20">
        <f>F241*AE241</f>
        <v>0</v>
      </c>
      <c r="I241" s="20">
        <f>J241-H241</f>
        <v>0</v>
      </c>
      <c r="J241" s="20">
        <f>F241*G241</f>
        <v>0</v>
      </c>
      <c r="K241" s="20">
        <v>0</v>
      </c>
      <c r="L241" s="20">
        <f>F241*K241</f>
        <v>0</v>
      </c>
      <c r="M241" s="32" t="s">
        <v>1040</v>
      </c>
      <c r="P241" s="36">
        <f>IF(AG241="5",J241,0)</f>
        <v>0</v>
      </c>
      <c r="R241" s="36">
        <f>IF(AG241="1",H241,0)</f>
        <v>0</v>
      </c>
      <c r="S241" s="36">
        <f>IF(AG241="1",I241,0)</f>
        <v>0</v>
      </c>
      <c r="T241" s="36">
        <f>IF(AG241="7",H241,0)</f>
        <v>0</v>
      </c>
      <c r="U241" s="36">
        <f>IF(AG241="7",I241,0)</f>
        <v>0</v>
      </c>
      <c r="V241" s="36">
        <f>IF(AG241="2",H241,0)</f>
        <v>0</v>
      </c>
      <c r="W241" s="36">
        <f>IF(AG241="2",I241,0)</f>
        <v>0</v>
      </c>
      <c r="X241" s="36">
        <f>IF(AG241="0",J241,0)</f>
        <v>0</v>
      </c>
      <c r="Y241" s="29"/>
      <c r="Z241" s="20">
        <f>IF(AD241=0,J241,0)</f>
        <v>0</v>
      </c>
      <c r="AA241" s="20">
        <f>IF(AD241=15,J241,0)</f>
        <v>0</v>
      </c>
      <c r="AB241" s="20">
        <f>IF(AD241=21,J241,0)</f>
        <v>0</v>
      </c>
      <c r="AD241" s="36">
        <v>21</v>
      </c>
      <c r="AE241" s="36">
        <f>G241*0</f>
        <v>0</v>
      </c>
      <c r="AF241" s="36">
        <f>G241*(1-0)</f>
        <v>0</v>
      </c>
      <c r="AG241" s="32" t="s">
        <v>13</v>
      </c>
      <c r="AM241" s="36">
        <f>F241*AE241</f>
        <v>0</v>
      </c>
      <c r="AN241" s="36">
        <f>F241*AF241</f>
        <v>0</v>
      </c>
      <c r="AO241" s="37" t="s">
        <v>1073</v>
      </c>
      <c r="AP241" s="37" t="s">
        <v>1096</v>
      </c>
      <c r="AQ241" s="29" t="s">
        <v>1101</v>
      </c>
      <c r="AS241" s="36">
        <f>AM241+AN241</f>
        <v>0</v>
      </c>
      <c r="AT241" s="36">
        <f>G241/(100-AU241)*100</f>
        <v>0</v>
      </c>
      <c r="AU241" s="36">
        <v>0</v>
      </c>
      <c r="AV241" s="36">
        <f>L241</f>
        <v>0</v>
      </c>
    </row>
    <row r="242" spans="4:6" ht="12.75">
      <c r="D242" s="17" t="s">
        <v>745</v>
      </c>
      <c r="F242" s="21">
        <v>441.5184</v>
      </c>
    </row>
    <row r="243" spans="1:48" ht="12.75">
      <c r="A243" s="4" t="s">
        <v>105</v>
      </c>
      <c r="B243" s="4"/>
      <c r="C243" s="4" t="s">
        <v>356</v>
      </c>
      <c r="D243" s="4" t="s">
        <v>746</v>
      </c>
      <c r="E243" s="4" t="s">
        <v>1016</v>
      </c>
      <c r="F243" s="20">
        <v>124.44</v>
      </c>
      <c r="G243" s="20">
        <v>0</v>
      </c>
      <c r="H243" s="20">
        <f>F243*AE243</f>
        <v>0</v>
      </c>
      <c r="I243" s="20">
        <f>J243-H243</f>
        <v>0</v>
      </c>
      <c r="J243" s="20">
        <f>F243*G243</f>
        <v>0</v>
      </c>
      <c r="K243" s="20">
        <v>2E-05</v>
      </c>
      <c r="L243" s="20">
        <f>F243*K243</f>
        <v>0.0024888</v>
      </c>
      <c r="M243" s="32" t="s">
        <v>1040</v>
      </c>
      <c r="P243" s="36">
        <f>IF(AG243="5",J243,0)</f>
        <v>0</v>
      </c>
      <c r="R243" s="36">
        <f>IF(AG243="1",H243,0)</f>
        <v>0</v>
      </c>
      <c r="S243" s="36">
        <f>IF(AG243="1",I243,0)</f>
        <v>0</v>
      </c>
      <c r="T243" s="36">
        <f>IF(AG243="7",H243,0)</f>
        <v>0</v>
      </c>
      <c r="U243" s="36">
        <f>IF(AG243="7",I243,0)</f>
        <v>0</v>
      </c>
      <c r="V243" s="36">
        <f>IF(AG243="2",H243,0)</f>
        <v>0</v>
      </c>
      <c r="W243" s="36">
        <f>IF(AG243="2",I243,0)</f>
        <v>0</v>
      </c>
      <c r="X243" s="36">
        <f>IF(AG243="0",J243,0)</f>
        <v>0</v>
      </c>
      <c r="Y243" s="29"/>
      <c r="Z243" s="20">
        <f>IF(AD243=0,J243,0)</f>
        <v>0</v>
      </c>
      <c r="AA243" s="20">
        <f>IF(AD243=15,J243,0)</f>
        <v>0</v>
      </c>
      <c r="AB243" s="20">
        <f>IF(AD243=21,J243,0)</f>
        <v>0</v>
      </c>
      <c r="AD243" s="36">
        <v>21</v>
      </c>
      <c r="AE243" s="36">
        <f>G243*0.109273570324575</f>
        <v>0</v>
      </c>
      <c r="AF243" s="36">
        <f>G243*(1-0.109273570324575)</f>
        <v>0</v>
      </c>
      <c r="AG243" s="32" t="s">
        <v>13</v>
      </c>
      <c r="AM243" s="36">
        <f>F243*AE243</f>
        <v>0</v>
      </c>
      <c r="AN243" s="36">
        <f>F243*AF243</f>
        <v>0</v>
      </c>
      <c r="AO243" s="37" t="s">
        <v>1073</v>
      </c>
      <c r="AP243" s="37" t="s">
        <v>1096</v>
      </c>
      <c r="AQ243" s="29" t="s">
        <v>1101</v>
      </c>
      <c r="AS243" s="36">
        <f>AM243+AN243</f>
        <v>0</v>
      </c>
      <c r="AT243" s="36">
        <f>G243/(100-AU243)*100</f>
        <v>0</v>
      </c>
      <c r="AU243" s="36">
        <v>0</v>
      </c>
      <c r="AV243" s="36">
        <f>L243</f>
        <v>0.0024888</v>
      </c>
    </row>
    <row r="244" spans="4:6" ht="12.75">
      <c r="D244" s="17" t="s">
        <v>747</v>
      </c>
      <c r="F244" s="21">
        <v>124.44</v>
      </c>
    </row>
    <row r="245" spans="3:13" ht="12.75">
      <c r="C245" s="14" t="s">
        <v>255</v>
      </c>
      <c r="D245" s="91" t="s">
        <v>748</v>
      </c>
      <c r="E245" s="92"/>
      <c r="F245" s="92"/>
      <c r="G245" s="92"/>
      <c r="H245" s="92"/>
      <c r="I245" s="92"/>
      <c r="J245" s="92"/>
      <c r="K245" s="92"/>
      <c r="L245" s="92"/>
      <c r="M245" s="92"/>
    </row>
    <row r="246" spans="1:48" ht="12.75">
      <c r="A246" s="4" t="s">
        <v>106</v>
      </c>
      <c r="B246" s="4"/>
      <c r="C246" s="4" t="s">
        <v>357</v>
      </c>
      <c r="D246" s="4" t="s">
        <v>749</v>
      </c>
      <c r="E246" s="4" t="s">
        <v>1018</v>
      </c>
      <c r="F246" s="20">
        <v>1</v>
      </c>
      <c r="G246" s="20">
        <v>0</v>
      </c>
      <c r="H246" s="20">
        <f>F246*AE246</f>
        <v>0</v>
      </c>
      <c r="I246" s="20">
        <f>J246-H246</f>
        <v>0</v>
      </c>
      <c r="J246" s="20">
        <f>F246*G246</f>
        <v>0</v>
      </c>
      <c r="K246" s="20">
        <v>0</v>
      </c>
      <c r="L246" s="20">
        <f>F246*K246</f>
        <v>0</v>
      </c>
      <c r="M246" s="32" t="s">
        <v>1040</v>
      </c>
      <c r="P246" s="36">
        <f>IF(AG246="5",J246,0)</f>
        <v>0</v>
      </c>
      <c r="R246" s="36">
        <f>IF(AG246="1",H246,0)</f>
        <v>0</v>
      </c>
      <c r="S246" s="36">
        <f>IF(AG246="1",I246,0)</f>
        <v>0</v>
      </c>
      <c r="T246" s="36">
        <f>IF(AG246="7",H246,0)</f>
        <v>0</v>
      </c>
      <c r="U246" s="36">
        <f>IF(AG246="7",I246,0)</f>
        <v>0</v>
      </c>
      <c r="V246" s="36">
        <f>IF(AG246="2",H246,0)</f>
        <v>0</v>
      </c>
      <c r="W246" s="36">
        <f>IF(AG246="2",I246,0)</f>
        <v>0</v>
      </c>
      <c r="X246" s="36">
        <f>IF(AG246="0",J246,0)</f>
        <v>0</v>
      </c>
      <c r="Y246" s="29"/>
      <c r="Z246" s="20">
        <f>IF(AD246=0,J246,0)</f>
        <v>0</v>
      </c>
      <c r="AA246" s="20">
        <f>IF(AD246=15,J246,0)</f>
        <v>0</v>
      </c>
      <c r="AB246" s="20">
        <f>IF(AD246=21,J246,0)</f>
        <v>0</v>
      </c>
      <c r="AD246" s="36">
        <v>21</v>
      </c>
      <c r="AE246" s="36">
        <f>G246*0</f>
        <v>0</v>
      </c>
      <c r="AF246" s="36">
        <f>G246*(1-0)</f>
        <v>0</v>
      </c>
      <c r="AG246" s="32" t="s">
        <v>13</v>
      </c>
      <c r="AM246" s="36">
        <f>F246*AE246</f>
        <v>0</v>
      </c>
      <c r="AN246" s="36">
        <f>F246*AF246</f>
        <v>0</v>
      </c>
      <c r="AO246" s="37" t="s">
        <v>1073</v>
      </c>
      <c r="AP246" s="37" t="s">
        <v>1096</v>
      </c>
      <c r="AQ246" s="29" t="s">
        <v>1101</v>
      </c>
      <c r="AS246" s="36">
        <f>AM246+AN246</f>
        <v>0</v>
      </c>
      <c r="AT246" s="36">
        <f>G246/(100-AU246)*100</f>
        <v>0</v>
      </c>
      <c r="AU246" s="36">
        <v>0</v>
      </c>
      <c r="AV246" s="36">
        <f>L246</f>
        <v>0</v>
      </c>
    </row>
    <row r="247" spans="3:13" ht="12.75">
      <c r="C247" s="14" t="s">
        <v>255</v>
      </c>
      <c r="D247" s="91" t="s">
        <v>750</v>
      </c>
      <c r="E247" s="92"/>
      <c r="F247" s="92"/>
      <c r="G247" s="92"/>
      <c r="H247" s="92"/>
      <c r="I247" s="92"/>
      <c r="J247" s="92"/>
      <c r="K247" s="92"/>
      <c r="L247" s="92"/>
      <c r="M247" s="92"/>
    </row>
    <row r="248" spans="1:48" ht="12.75">
      <c r="A248" s="4" t="s">
        <v>107</v>
      </c>
      <c r="B248" s="4"/>
      <c r="C248" s="4" t="s">
        <v>358</v>
      </c>
      <c r="D248" s="4" t="s">
        <v>751</v>
      </c>
      <c r="E248" s="4" t="s">
        <v>1016</v>
      </c>
      <c r="F248" s="20">
        <v>124.5525</v>
      </c>
      <c r="G248" s="20">
        <v>0</v>
      </c>
      <c r="H248" s="20">
        <f>F248*AE248</f>
        <v>0</v>
      </c>
      <c r="I248" s="20">
        <f>J248-H248</f>
        <v>0</v>
      </c>
      <c r="J248" s="20">
        <f>F248*G248</f>
        <v>0</v>
      </c>
      <c r="K248" s="20">
        <v>0</v>
      </c>
      <c r="L248" s="20">
        <f>F248*K248</f>
        <v>0</v>
      </c>
      <c r="M248" s="32" t="s">
        <v>1040</v>
      </c>
      <c r="P248" s="36">
        <f>IF(AG248="5",J248,0)</f>
        <v>0</v>
      </c>
      <c r="R248" s="36">
        <f>IF(AG248="1",H248,0)</f>
        <v>0</v>
      </c>
      <c r="S248" s="36">
        <f>IF(AG248="1",I248,0)</f>
        <v>0</v>
      </c>
      <c r="T248" s="36">
        <f>IF(AG248="7",H248,0)</f>
        <v>0</v>
      </c>
      <c r="U248" s="36">
        <f>IF(AG248="7",I248,0)</f>
        <v>0</v>
      </c>
      <c r="V248" s="36">
        <f>IF(AG248="2",H248,0)</f>
        <v>0</v>
      </c>
      <c r="W248" s="36">
        <f>IF(AG248="2",I248,0)</f>
        <v>0</v>
      </c>
      <c r="X248" s="36">
        <f>IF(AG248="0",J248,0)</f>
        <v>0</v>
      </c>
      <c r="Y248" s="29"/>
      <c r="Z248" s="20">
        <f>IF(AD248=0,J248,0)</f>
        <v>0</v>
      </c>
      <c r="AA248" s="20">
        <f>IF(AD248=15,J248,0)</f>
        <v>0</v>
      </c>
      <c r="AB248" s="20">
        <f>IF(AD248=21,J248,0)</f>
        <v>0</v>
      </c>
      <c r="AD248" s="36">
        <v>21</v>
      </c>
      <c r="AE248" s="36">
        <f>G248*0</f>
        <v>0</v>
      </c>
      <c r="AF248" s="36">
        <f>G248*(1-0)</f>
        <v>0</v>
      </c>
      <c r="AG248" s="32" t="s">
        <v>13</v>
      </c>
      <c r="AM248" s="36">
        <f>F248*AE248</f>
        <v>0</v>
      </c>
      <c r="AN248" s="36">
        <f>F248*AF248</f>
        <v>0</v>
      </c>
      <c r="AO248" s="37" t="s">
        <v>1073</v>
      </c>
      <c r="AP248" s="37" t="s">
        <v>1096</v>
      </c>
      <c r="AQ248" s="29" t="s">
        <v>1101</v>
      </c>
      <c r="AS248" s="36">
        <f>AM248+AN248</f>
        <v>0</v>
      </c>
      <c r="AT248" s="36">
        <f>G248/(100-AU248)*100</f>
        <v>0</v>
      </c>
      <c r="AU248" s="36">
        <v>0</v>
      </c>
      <c r="AV248" s="36">
        <f>L248</f>
        <v>0</v>
      </c>
    </row>
    <row r="249" spans="1:48" ht="12.75">
      <c r="A249" s="4" t="s">
        <v>108</v>
      </c>
      <c r="B249" s="4"/>
      <c r="C249" s="4" t="s">
        <v>359</v>
      </c>
      <c r="D249" s="4" t="s">
        <v>752</v>
      </c>
      <c r="E249" s="4" t="s">
        <v>1016</v>
      </c>
      <c r="F249" s="20">
        <v>124.5525</v>
      </c>
      <c r="G249" s="20">
        <v>0</v>
      </c>
      <c r="H249" s="20">
        <f>F249*AE249</f>
        <v>0</v>
      </c>
      <c r="I249" s="20">
        <f>J249-H249</f>
        <v>0</v>
      </c>
      <c r="J249" s="20">
        <f>F249*G249</f>
        <v>0</v>
      </c>
      <c r="K249" s="20">
        <v>1E-05</v>
      </c>
      <c r="L249" s="20">
        <f>F249*K249</f>
        <v>0.0012455250000000001</v>
      </c>
      <c r="M249" s="32" t="s">
        <v>1040</v>
      </c>
      <c r="P249" s="36">
        <f>IF(AG249="5",J249,0)</f>
        <v>0</v>
      </c>
      <c r="R249" s="36">
        <f>IF(AG249="1",H249,0)</f>
        <v>0</v>
      </c>
      <c r="S249" s="36">
        <f>IF(AG249="1",I249,0)</f>
        <v>0</v>
      </c>
      <c r="T249" s="36">
        <f>IF(AG249="7",H249,0)</f>
        <v>0</v>
      </c>
      <c r="U249" s="36">
        <f>IF(AG249="7",I249,0)</f>
        <v>0</v>
      </c>
      <c r="V249" s="36">
        <f>IF(AG249="2",H249,0)</f>
        <v>0</v>
      </c>
      <c r="W249" s="36">
        <f>IF(AG249="2",I249,0)</f>
        <v>0</v>
      </c>
      <c r="X249" s="36">
        <f>IF(AG249="0",J249,0)</f>
        <v>0</v>
      </c>
      <c r="Y249" s="29"/>
      <c r="Z249" s="20">
        <f>IF(AD249=0,J249,0)</f>
        <v>0</v>
      </c>
      <c r="AA249" s="20">
        <f>IF(AD249=15,J249,0)</f>
        <v>0</v>
      </c>
      <c r="AB249" s="20">
        <f>IF(AD249=21,J249,0)</f>
        <v>0</v>
      </c>
      <c r="AD249" s="36">
        <v>21</v>
      </c>
      <c r="AE249" s="36">
        <f>G249*0.236060606060606</f>
        <v>0</v>
      </c>
      <c r="AF249" s="36">
        <f>G249*(1-0.236060606060606)</f>
        <v>0</v>
      </c>
      <c r="AG249" s="32" t="s">
        <v>13</v>
      </c>
      <c r="AM249" s="36">
        <f>F249*AE249</f>
        <v>0</v>
      </c>
      <c r="AN249" s="36">
        <f>F249*AF249</f>
        <v>0</v>
      </c>
      <c r="AO249" s="37" t="s">
        <v>1073</v>
      </c>
      <c r="AP249" s="37" t="s">
        <v>1096</v>
      </c>
      <c r="AQ249" s="29" t="s">
        <v>1101</v>
      </c>
      <c r="AS249" s="36">
        <f>AM249+AN249</f>
        <v>0</v>
      </c>
      <c r="AT249" s="36">
        <f>G249/(100-AU249)*100</f>
        <v>0</v>
      </c>
      <c r="AU249" s="36">
        <v>0</v>
      </c>
      <c r="AV249" s="36">
        <f>L249</f>
        <v>0.0012455250000000001</v>
      </c>
    </row>
    <row r="250" spans="3:13" ht="12.75">
      <c r="C250" s="14" t="s">
        <v>255</v>
      </c>
      <c r="D250" s="91" t="s">
        <v>753</v>
      </c>
      <c r="E250" s="92"/>
      <c r="F250" s="92"/>
      <c r="G250" s="92"/>
      <c r="H250" s="92"/>
      <c r="I250" s="92"/>
      <c r="J250" s="92"/>
      <c r="K250" s="92"/>
      <c r="L250" s="92"/>
      <c r="M250" s="92"/>
    </row>
    <row r="251" spans="1:48" ht="12.75">
      <c r="A251" s="4" t="s">
        <v>109</v>
      </c>
      <c r="B251" s="4"/>
      <c r="C251" s="4" t="s">
        <v>360</v>
      </c>
      <c r="D251" s="4" t="s">
        <v>754</v>
      </c>
      <c r="E251" s="4" t="s">
        <v>1019</v>
      </c>
      <c r="F251" s="20">
        <v>194.6</v>
      </c>
      <c r="G251" s="20">
        <v>0</v>
      </c>
      <c r="H251" s="20">
        <f>F251*AE251</f>
        <v>0</v>
      </c>
      <c r="I251" s="20">
        <f>J251-H251</f>
        <v>0</v>
      </c>
      <c r="J251" s="20">
        <f>F251*G251</f>
        <v>0</v>
      </c>
      <c r="K251" s="20">
        <v>0</v>
      </c>
      <c r="L251" s="20">
        <f>F251*K251</f>
        <v>0</v>
      </c>
      <c r="M251" s="32" t="s">
        <v>1040</v>
      </c>
      <c r="P251" s="36">
        <f>IF(AG251="5",J251,0)</f>
        <v>0</v>
      </c>
      <c r="R251" s="36">
        <f>IF(AG251="1",H251,0)</f>
        <v>0</v>
      </c>
      <c r="S251" s="36">
        <f>IF(AG251="1",I251,0)</f>
        <v>0</v>
      </c>
      <c r="T251" s="36">
        <f>IF(AG251="7",H251,0)</f>
        <v>0</v>
      </c>
      <c r="U251" s="36">
        <f>IF(AG251="7",I251,0)</f>
        <v>0</v>
      </c>
      <c r="V251" s="36">
        <f>IF(AG251="2",H251,0)</f>
        <v>0</v>
      </c>
      <c r="W251" s="36">
        <f>IF(AG251="2",I251,0)</f>
        <v>0</v>
      </c>
      <c r="X251" s="36">
        <f>IF(AG251="0",J251,0)</f>
        <v>0</v>
      </c>
      <c r="Y251" s="29"/>
      <c r="Z251" s="20">
        <f>IF(AD251=0,J251,0)</f>
        <v>0</v>
      </c>
      <c r="AA251" s="20">
        <f>IF(AD251=15,J251,0)</f>
        <v>0</v>
      </c>
      <c r="AB251" s="20">
        <f>IF(AD251=21,J251,0)</f>
        <v>0</v>
      </c>
      <c r="AD251" s="36">
        <v>21</v>
      </c>
      <c r="AE251" s="36">
        <f>G251*0.165923724616147</f>
        <v>0</v>
      </c>
      <c r="AF251" s="36">
        <f>G251*(1-0.165923724616147)</f>
        <v>0</v>
      </c>
      <c r="AG251" s="32" t="s">
        <v>13</v>
      </c>
      <c r="AM251" s="36">
        <f>F251*AE251</f>
        <v>0</v>
      </c>
      <c r="AN251" s="36">
        <f>F251*AF251</f>
        <v>0</v>
      </c>
      <c r="AO251" s="37" t="s">
        <v>1073</v>
      </c>
      <c r="AP251" s="37" t="s">
        <v>1096</v>
      </c>
      <c r="AQ251" s="29" t="s">
        <v>1101</v>
      </c>
      <c r="AS251" s="36">
        <f>AM251+AN251</f>
        <v>0</v>
      </c>
      <c r="AT251" s="36">
        <f>G251/(100-AU251)*100</f>
        <v>0</v>
      </c>
      <c r="AU251" s="36">
        <v>0</v>
      </c>
      <c r="AV251" s="36">
        <f>L251</f>
        <v>0</v>
      </c>
    </row>
    <row r="252" spans="4:6" ht="12.75">
      <c r="D252" s="17" t="s">
        <v>755</v>
      </c>
      <c r="F252" s="21">
        <v>129.56</v>
      </c>
    </row>
    <row r="253" spans="4:6" ht="12.75">
      <c r="D253" s="17" t="s">
        <v>756</v>
      </c>
      <c r="F253" s="21">
        <v>65.04</v>
      </c>
    </row>
    <row r="254" spans="1:48" ht="12.75">
      <c r="A254" s="6" t="s">
        <v>110</v>
      </c>
      <c r="B254" s="6"/>
      <c r="C254" s="6" t="s">
        <v>361</v>
      </c>
      <c r="D254" s="6" t="s">
        <v>757</v>
      </c>
      <c r="E254" s="6" t="s">
        <v>1016</v>
      </c>
      <c r="F254" s="22">
        <v>323.41997</v>
      </c>
      <c r="G254" s="22">
        <v>0</v>
      </c>
      <c r="H254" s="22">
        <f>F254*AE254</f>
        <v>0</v>
      </c>
      <c r="I254" s="22">
        <f>J254-H254</f>
        <v>0</v>
      </c>
      <c r="J254" s="22">
        <f>F254*G254</f>
        <v>0</v>
      </c>
      <c r="K254" s="22">
        <v>0.0015</v>
      </c>
      <c r="L254" s="22">
        <f>F254*K254</f>
        <v>0.485129955</v>
      </c>
      <c r="M254" s="33" t="s">
        <v>1040</v>
      </c>
      <c r="P254" s="36">
        <f>IF(AG254="5",J254,0)</f>
        <v>0</v>
      </c>
      <c r="R254" s="36">
        <f>IF(AG254="1",H254,0)</f>
        <v>0</v>
      </c>
      <c r="S254" s="36">
        <f>IF(AG254="1",I254,0)</f>
        <v>0</v>
      </c>
      <c r="T254" s="36">
        <f>IF(AG254="7",H254,0)</f>
        <v>0</v>
      </c>
      <c r="U254" s="36">
        <f>IF(AG254="7",I254,0)</f>
        <v>0</v>
      </c>
      <c r="V254" s="36">
        <f>IF(AG254="2",H254,0)</f>
        <v>0</v>
      </c>
      <c r="W254" s="36">
        <f>IF(AG254="2",I254,0)</f>
        <v>0</v>
      </c>
      <c r="X254" s="36">
        <f>IF(AG254="0",J254,0)</f>
        <v>0</v>
      </c>
      <c r="Y254" s="29"/>
      <c r="Z254" s="22">
        <f>IF(AD254=0,J254,0)</f>
        <v>0</v>
      </c>
      <c r="AA254" s="22">
        <f>IF(AD254=15,J254,0)</f>
        <v>0</v>
      </c>
      <c r="AB254" s="22">
        <f>IF(AD254=21,J254,0)</f>
        <v>0</v>
      </c>
      <c r="AD254" s="36">
        <v>21</v>
      </c>
      <c r="AE254" s="36">
        <f>G254*1</f>
        <v>0</v>
      </c>
      <c r="AF254" s="36">
        <f>G254*(1-1)</f>
        <v>0</v>
      </c>
      <c r="AG254" s="33" t="s">
        <v>13</v>
      </c>
      <c r="AM254" s="36">
        <f>F254*AE254</f>
        <v>0</v>
      </c>
      <c r="AN254" s="36">
        <f>F254*AF254</f>
        <v>0</v>
      </c>
      <c r="AO254" s="37" t="s">
        <v>1073</v>
      </c>
      <c r="AP254" s="37" t="s">
        <v>1096</v>
      </c>
      <c r="AQ254" s="29" t="s">
        <v>1101</v>
      </c>
      <c r="AS254" s="36">
        <f>AM254+AN254</f>
        <v>0</v>
      </c>
      <c r="AT254" s="36">
        <f>G254/(100-AU254)*100</f>
        <v>0</v>
      </c>
      <c r="AU254" s="36">
        <v>0</v>
      </c>
      <c r="AV254" s="36">
        <f>L254</f>
        <v>0.485129955</v>
      </c>
    </row>
    <row r="255" spans="4:6" ht="12.75">
      <c r="D255" s="17" t="s">
        <v>758</v>
      </c>
      <c r="F255" s="21">
        <v>317.0784</v>
      </c>
    </row>
    <row r="256" spans="4:6" ht="12.75">
      <c r="D256" s="17" t="s">
        <v>759</v>
      </c>
      <c r="F256" s="21">
        <v>6.34157</v>
      </c>
    </row>
    <row r="257" spans="1:48" ht="12.75">
      <c r="A257" s="6" t="s">
        <v>111</v>
      </c>
      <c r="B257" s="6"/>
      <c r="C257" s="6" t="s">
        <v>362</v>
      </c>
      <c r="D257" s="6" t="s">
        <v>760</v>
      </c>
      <c r="E257" s="6" t="s">
        <v>1016</v>
      </c>
      <c r="F257" s="22">
        <v>126.9288</v>
      </c>
      <c r="G257" s="22">
        <v>0</v>
      </c>
      <c r="H257" s="22">
        <f>F257*AE257</f>
        <v>0</v>
      </c>
      <c r="I257" s="22">
        <f>J257-H257</f>
        <v>0</v>
      </c>
      <c r="J257" s="22">
        <f>F257*G257</f>
        <v>0</v>
      </c>
      <c r="K257" s="22">
        <v>0.0015</v>
      </c>
      <c r="L257" s="22">
        <f>F257*K257</f>
        <v>0.19039319999999998</v>
      </c>
      <c r="M257" s="33" t="s">
        <v>1040</v>
      </c>
      <c r="P257" s="36">
        <f>IF(AG257="5",J257,0)</f>
        <v>0</v>
      </c>
      <c r="R257" s="36">
        <f>IF(AG257="1",H257,0)</f>
        <v>0</v>
      </c>
      <c r="S257" s="36">
        <f>IF(AG257="1",I257,0)</f>
        <v>0</v>
      </c>
      <c r="T257" s="36">
        <f>IF(AG257="7",H257,0)</f>
        <v>0</v>
      </c>
      <c r="U257" s="36">
        <f>IF(AG257="7",I257,0)</f>
        <v>0</v>
      </c>
      <c r="V257" s="36">
        <f>IF(AG257="2",H257,0)</f>
        <v>0</v>
      </c>
      <c r="W257" s="36">
        <f>IF(AG257="2",I257,0)</f>
        <v>0</v>
      </c>
      <c r="X257" s="36">
        <f>IF(AG257="0",J257,0)</f>
        <v>0</v>
      </c>
      <c r="Y257" s="29"/>
      <c r="Z257" s="22">
        <f>IF(AD257=0,J257,0)</f>
        <v>0</v>
      </c>
      <c r="AA257" s="22">
        <f>IF(AD257=15,J257,0)</f>
        <v>0</v>
      </c>
      <c r="AB257" s="22">
        <f>IF(AD257=21,J257,0)</f>
        <v>0</v>
      </c>
      <c r="AD257" s="36">
        <v>21</v>
      </c>
      <c r="AE257" s="36">
        <f>G257*1</f>
        <v>0</v>
      </c>
      <c r="AF257" s="36">
        <f>G257*(1-1)</f>
        <v>0</v>
      </c>
      <c r="AG257" s="33" t="s">
        <v>13</v>
      </c>
      <c r="AM257" s="36">
        <f>F257*AE257</f>
        <v>0</v>
      </c>
      <c r="AN257" s="36">
        <f>F257*AF257</f>
        <v>0</v>
      </c>
      <c r="AO257" s="37" t="s">
        <v>1073</v>
      </c>
      <c r="AP257" s="37" t="s">
        <v>1096</v>
      </c>
      <c r="AQ257" s="29" t="s">
        <v>1101</v>
      </c>
      <c r="AS257" s="36">
        <f>AM257+AN257</f>
        <v>0</v>
      </c>
      <c r="AT257" s="36">
        <f>G257/(100-AU257)*100</f>
        <v>0</v>
      </c>
      <c r="AU257" s="36">
        <v>0</v>
      </c>
      <c r="AV257" s="36">
        <f>L257</f>
        <v>0.19039319999999998</v>
      </c>
    </row>
    <row r="258" spans="4:6" ht="12.75">
      <c r="D258" s="17" t="s">
        <v>761</v>
      </c>
      <c r="F258" s="21">
        <v>124.44</v>
      </c>
    </row>
    <row r="259" spans="4:6" ht="12.75">
      <c r="D259" s="17" t="s">
        <v>762</v>
      </c>
      <c r="F259" s="21">
        <v>2.4888</v>
      </c>
    </row>
    <row r="260" spans="1:48" ht="12.75">
      <c r="A260" s="6" t="s">
        <v>112</v>
      </c>
      <c r="B260" s="6"/>
      <c r="C260" s="6" t="s">
        <v>363</v>
      </c>
      <c r="D260" s="6" t="s">
        <v>763</v>
      </c>
      <c r="E260" s="6" t="s">
        <v>1016</v>
      </c>
      <c r="F260" s="22">
        <v>126.9288</v>
      </c>
      <c r="G260" s="22">
        <v>0</v>
      </c>
      <c r="H260" s="22">
        <f>F260*AE260</f>
        <v>0</v>
      </c>
      <c r="I260" s="22">
        <f>J260-H260</f>
        <v>0</v>
      </c>
      <c r="J260" s="22">
        <f>F260*G260</f>
        <v>0</v>
      </c>
      <c r="K260" s="22">
        <v>0.00231</v>
      </c>
      <c r="L260" s="22">
        <f>F260*K260</f>
        <v>0.293205528</v>
      </c>
      <c r="M260" s="33" t="s">
        <v>1040</v>
      </c>
      <c r="P260" s="36">
        <f>IF(AG260="5",J260,0)</f>
        <v>0</v>
      </c>
      <c r="R260" s="36">
        <f>IF(AG260="1",H260,0)</f>
        <v>0</v>
      </c>
      <c r="S260" s="36">
        <f>IF(AG260="1",I260,0)</f>
        <v>0</v>
      </c>
      <c r="T260" s="36">
        <f>IF(AG260="7",H260,0)</f>
        <v>0</v>
      </c>
      <c r="U260" s="36">
        <f>IF(AG260="7",I260,0)</f>
        <v>0</v>
      </c>
      <c r="V260" s="36">
        <f>IF(AG260="2",H260,0)</f>
        <v>0</v>
      </c>
      <c r="W260" s="36">
        <f>IF(AG260="2",I260,0)</f>
        <v>0</v>
      </c>
      <c r="X260" s="36">
        <f>IF(AG260="0",J260,0)</f>
        <v>0</v>
      </c>
      <c r="Y260" s="29"/>
      <c r="Z260" s="22">
        <f>IF(AD260=0,J260,0)</f>
        <v>0</v>
      </c>
      <c r="AA260" s="22">
        <f>IF(AD260=15,J260,0)</f>
        <v>0</v>
      </c>
      <c r="AB260" s="22">
        <f>IF(AD260=21,J260,0)</f>
        <v>0</v>
      </c>
      <c r="AD260" s="36">
        <v>21</v>
      </c>
      <c r="AE260" s="36">
        <f>G260*1</f>
        <v>0</v>
      </c>
      <c r="AF260" s="36">
        <f>G260*(1-1)</f>
        <v>0</v>
      </c>
      <c r="AG260" s="33" t="s">
        <v>13</v>
      </c>
      <c r="AM260" s="36">
        <f>F260*AE260</f>
        <v>0</v>
      </c>
      <c r="AN260" s="36">
        <f>F260*AF260</f>
        <v>0</v>
      </c>
      <c r="AO260" s="37" t="s">
        <v>1073</v>
      </c>
      <c r="AP260" s="37" t="s">
        <v>1096</v>
      </c>
      <c r="AQ260" s="29" t="s">
        <v>1101</v>
      </c>
      <c r="AS260" s="36">
        <f>AM260+AN260</f>
        <v>0</v>
      </c>
      <c r="AT260" s="36">
        <f>G260/(100-AU260)*100</f>
        <v>0</v>
      </c>
      <c r="AU260" s="36">
        <v>0</v>
      </c>
      <c r="AV260" s="36">
        <f>L260</f>
        <v>0.293205528</v>
      </c>
    </row>
    <row r="261" spans="4:6" ht="12.75">
      <c r="D261" s="17" t="s">
        <v>761</v>
      </c>
      <c r="F261" s="21">
        <v>124.44</v>
      </c>
    </row>
    <row r="262" spans="4:6" ht="12.75">
      <c r="D262" s="17" t="s">
        <v>762</v>
      </c>
      <c r="F262" s="21">
        <v>2.4888</v>
      </c>
    </row>
    <row r="263" spans="1:48" ht="12.75">
      <c r="A263" s="4" t="s">
        <v>113</v>
      </c>
      <c r="B263" s="4"/>
      <c r="C263" s="4" t="s">
        <v>364</v>
      </c>
      <c r="D263" s="4" t="s">
        <v>764</v>
      </c>
      <c r="E263" s="4" t="s">
        <v>1015</v>
      </c>
      <c r="F263" s="20">
        <v>0.95347</v>
      </c>
      <c r="G263" s="20">
        <v>0</v>
      </c>
      <c r="H263" s="20">
        <f>F263*AE263</f>
        <v>0</v>
      </c>
      <c r="I263" s="20">
        <f>J263-H263</f>
        <v>0</v>
      </c>
      <c r="J263" s="20">
        <f>F263*G263</f>
        <v>0</v>
      </c>
      <c r="K263" s="20">
        <v>0</v>
      </c>
      <c r="L263" s="20">
        <f>F263*K263</f>
        <v>0</v>
      </c>
      <c r="M263" s="32" t="s">
        <v>1040</v>
      </c>
      <c r="P263" s="36">
        <f>IF(AG263="5",J263,0)</f>
        <v>0</v>
      </c>
      <c r="R263" s="36">
        <f>IF(AG263="1",H263,0)</f>
        <v>0</v>
      </c>
      <c r="S263" s="36">
        <f>IF(AG263="1",I263,0)</f>
        <v>0</v>
      </c>
      <c r="T263" s="36">
        <f>IF(AG263="7",H263,0)</f>
        <v>0</v>
      </c>
      <c r="U263" s="36">
        <f>IF(AG263="7",I263,0)</f>
        <v>0</v>
      </c>
      <c r="V263" s="36">
        <f>IF(AG263="2",H263,0)</f>
        <v>0</v>
      </c>
      <c r="W263" s="36">
        <f>IF(AG263="2",I263,0)</f>
        <v>0</v>
      </c>
      <c r="X263" s="36">
        <f>IF(AG263="0",J263,0)</f>
        <v>0</v>
      </c>
      <c r="Y263" s="29"/>
      <c r="Z263" s="20">
        <f>IF(AD263=0,J263,0)</f>
        <v>0</v>
      </c>
      <c r="AA263" s="20">
        <f>IF(AD263=15,J263,0)</f>
        <v>0</v>
      </c>
      <c r="AB263" s="20">
        <f>IF(AD263=21,J263,0)</f>
        <v>0</v>
      </c>
      <c r="AD263" s="36">
        <v>21</v>
      </c>
      <c r="AE263" s="36">
        <f>G263*0</f>
        <v>0</v>
      </c>
      <c r="AF263" s="36">
        <f>G263*(1-0)</f>
        <v>0</v>
      </c>
      <c r="AG263" s="32" t="s">
        <v>11</v>
      </c>
      <c r="AM263" s="36">
        <f>F263*AE263</f>
        <v>0</v>
      </c>
      <c r="AN263" s="36">
        <f>F263*AF263</f>
        <v>0</v>
      </c>
      <c r="AO263" s="37" t="s">
        <v>1073</v>
      </c>
      <c r="AP263" s="37" t="s">
        <v>1096</v>
      </c>
      <c r="AQ263" s="29" t="s">
        <v>1101</v>
      </c>
      <c r="AS263" s="36">
        <f>AM263+AN263</f>
        <v>0</v>
      </c>
      <c r="AT263" s="36">
        <f>G263/(100-AU263)*100</f>
        <v>0</v>
      </c>
      <c r="AU263" s="36">
        <v>0</v>
      </c>
      <c r="AV263" s="36">
        <f>L263</f>
        <v>0</v>
      </c>
    </row>
    <row r="264" spans="1:37" ht="12.75">
      <c r="A264" s="5"/>
      <c r="B264" s="13"/>
      <c r="C264" s="13" t="s">
        <v>365</v>
      </c>
      <c r="D264" s="93" t="s">
        <v>765</v>
      </c>
      <c r="E264" s="94"/>
      <c r="F264" s="94"/>
      <c r="G264" s="94"/>
      <c r="H264" s="39">
        <f>SUM(H265:H290)</f>
        <v>0</v>
      </c>
      <c r="I264" s="39">
        <f>SUM(I265:I290)</f>
        <v>0</v>
      </c>
      <c r="J264" s="39">
        <f>H264+I264</f>
        <v>0</v>
      </c>
      <c r="K264" s="29"/>
      <c r="L264" s="39">
        <f>SUM(L265:L290)</f>
        <v>0.3177773</v>
      </c>
      <c r="M264" s="29"/>
      <c r="Y264" s="29"/>
      <c r="AI264" s="39">
        <f>SUM(Z265:Z290)</f>
        <v>0</v>
      </c>
      <c r="AJ264" s="39">
        <f>SUM(AA265:AA290)</f>
        <v>0</v>
      </c>
      <c r="AK264" s="39">
        <f>SUM(AB265:AB290)</f>
        <v>0</v>
      </c>
    </row>
    <row r="265" spans="1:48" ht="12.75">
      <c r="A265" s="4" t="s">
        <v>114</v>
      </c>
      <c r="B265" s="4"/>
      <c r="C265" s="4" t="s">
        <v>366</v>
      </c>
      <c r="D265" s="4" t="s">
        <v>766</v>
      </c>
      <c r="E265" s="4" t="s">
        <v>1019</v>
      </c>
      <c r="F265" s="20">
        <v>28.38</v>
      </c>
      <c r="G265" s="20">
        <v>0</v>
      </c>
      <c r="H265" s="20">
        <f>F265*AE265</f>
        <v>0</v>
      </c>
      <c r="I265" s="20">
        <f>J265-H265</f>
        <v>0</v>
      </c>
      <c r="J265" s="20">
        <f>F265*G265</f>
        <v>0</v>
      </c>
      <c r="K265" s="20">
        <v>0.00047</v>
      </c>
      <c r="L265" s="20">
        <f>F265*K265</f>
        <v>0.013338599999999999</v>
      </c>
      <c r="M265" s="32" t="s">
        <v>1040</v>
      </c>
      <c r="P265" s="36">
        <f>IF(AG265="5",J265,0)</f>
        <v>0</v>
      </c>
      <c r="R265" s="36">
        <f>IF(AG265="1",H265,0)</f>
        <v>0</v>
      </c>
      <c r="S265" s="36">
        <f>IF(AG265="1",I265,0)</f>
        <v>0</v>
      </c>
      <c r="T265" s="36">
        <f>IF(AG265="7",H265,0)</f>
        <v>0</v>
      </c>
      <c r="U265" s="36">
        <f>IF(AG265="7",I265,0)</f>
        <v>0</v>
      </c>
      <c r="V265" s="36">
        <f>IF(AG265="2",H265,0)</f>
        <v>0</v>
      </c>
      <c r="W265" s="36">
        <f>IF(AG265="2",I265,0)</f>
        <v>0</v>
      </c>
      <c r="X265" s="36">
        <f>IF(AG265="0",J265,0)</f>
        <v>0</v>
      </c>
      <c r="Y265" s="29"/>
      <c r="Z265" s="20">
        <f>IF(AD265=0,J265,0)</f>
        <v>0</v>
      </c>
      <c r="AA265" s="20">
        <f>IF(AD265=15,J265,0)</f>
        <v>0</v>
      </c>
      <c r="AB265" s="20">
        <f>IF(AD265=21,J265,0)</f>
        <v>0</v>
      </c>
      <c r="AD265" s="36">
        <v>21</v>
      </c>
      <c r="AE265" s="36">
        <f>G265*0.336717948717949</f>
        <v>0</v>
      </c>
      <c r="AF265" s="36">
        <f>G265*(1-0.336717948717949)</f>
        <v>0</v>
      </c>
      <c r="AG265" s="32" t="s">
        <v>13</v>
      </c>
      <c r="AM265" s="36">
        <f>F265*AE265</f>
        <v>0</v>
      </c>
      <c r="AN265" s="36">
        <f>F265*AF265</f>
        <v>0</v>
      </c>
      <c r="AO265" s="37" t="s">
        <v>1074</v>
      </c>
      <c r="AP265" s="37" t="s">
        <v>1097</v>
      </c>
      <c r="AQ265" s="29" t="s">
        <v>1101</v>
      </c>
      <c r="AS265" s="36">
        <f>AM265+AN265</f>
        <v>0</v>
      </c>
      <c r="AT265" s="36">
        <f>G265/(100-AU265)*100</f>
        <v>0</v>
      </c>
      <c r="AU265" s="36">
        <v>0</v>
      </c>
      <c r="AV265" s="36">
        <f>L265</f>
        <v>0.013338599999999999</v>
      </c>
    </row>
    <row r="266" spans="4:6" ht="12.75">
      <c r="D266" s="17" t="s">
        <v>767</v>
      </c>
      <c r="F266" s="21">
        <v>28.38</v>
      </c>
    </row>
    <row r="267" spans="1:48" ht="12.75">
      <c r="A267" s="4" t="s">
        <v>115</v>
      </c>
      <c r="B267" s="4"/>
      <c r="C267" s="4" t="s">
        <v>367</v>
      </c>
      <c r="D267" s="4" t="s">
        <v>768</v>
      </c>
      <c r="E267" s="4" t="s">
        <v>1019</v>
      </c>
      <c r="F267" s="20">
        <v>15.54</v>
      </c>
      <c r="G267" s="20">
        <v>0</v>
      </c>
      <c r="H267" s="20">
        <f>F267*AE267</f>
        <v>0</v>
      </c>
      <c r="I267" s="20">
        <f>J267-H267</f>
        <v>0</v>
      </c>
      <c r="J267" s="20">
        <f>F267*G267</f>
        <v>0</v>
      </c>
      <c r="K267" s="20">
        <v>0.00053</v>
      </c>
      <c r="L267" s="20">
        <f>F267*K267</f>
        <v>0.008236199999999999</v>
      </c>
      <c r="M267" s="32" t="s">
        <v>1040</v>
      </c>
      <c r="P267" s="36">
        <f>IF(AG267="5",J267,0)</f>
        <v>0</v>
      </c>
      <c r="R267" s="36">
        <f>IF(AG267="1",H267,0)</f>
        <v>0</v>
      </c>
      <c r="S267" s="36">
        <f>IF(AG267="1",I267,0)</f>
        <v>0</v>
      </c>
      <c r="T267" s="36">
        <f>IF(AG267="7",H267,0)</f>
        <v>0</v>
      </c>
      <c r="U267" s="36">
        <f>IF(AG267="7",I267,0)</f>
        <v>0</v>
      </c>
      <c r="V267" s="36">
        <f>IF(AG267="2",H267,0)</f>
        <v>0</v>
      </c>
      <c r="W267" s="36">
        <f>IF(AG267="2",I267,0)</f>
        <v>0</v>
      </c>
      <c r="X267" s="36">
        <f>IF(AG267="0",J267,0)</f>
        <v>0</v>
      </c>
      <c r="Y267" s="29"/>
      <c r="Z267" s="20">
        <f>IF(AD267=0,J267,0)</f>
        <v>0</v>
      </c>
      <c r="AA267" s="20">
        <f>IF(AD267=15,J267,0)</f>
        <v>0</v>
      </c>
      <c r="AB267" s="20">
        <f>IF(AD267=21,J267,0)</f>
        <v>0</v>
      </c>
      <c r="AD267" s="36">
        <v>21</v>
      </c>
      <c r="AE267" s="36">
        <f>G267*0.45399433427762</f>
        <v>0</v>
      </c>
      <c r="AF267" s="36">
        <f>G267*(1-0.45399433427762)</f>
        <v>0</v>
      </c>
      <c r="AG267" s="32" t="s">
        <v>13</v>
      </c>
      <c r="AM267" s="36">
        <f>F267*AE267</f>
        <v>0</v>
      </c>
      <c r="AN267" s="36">
        <f>F267*AF267</f>
        <v>0</v>
      </c>
      <c r="AO267" s="37" t="s">
        <v>1074</v>
      </c>
      <c r="AP267" s="37" t="s">
        <v>1097</v>
      </c>
      <c r="AQ267" s="29" t="s">
        <v>1101</v>
      </c>
      <c r="AS267" s="36">
        <f>AM267+AN267</f>
        <v>0</v>
      </c>
      <c r="AT267" s="36">
        <f>G267/(100-AU267)*100</f>
        <v>0</v>
      </c>
      <c r="AU267" s="36">
        <v>0</v>
      </c>
      <c r="AV267" s="36">
        <f>L267</f>
        <v>0.008236199999999999</v>
      </c>
    </row>
    <row r="268" spans="4:6" ht="12.75">
      <c r="D268" s="17" t="s">
        <v>769</v>
      </c>
      <c r="F268" s="21">
        <v>15.54</v>
      </c>
    </row>
    <row r="269" spans="1:48" ht="12.75">
      <c r="A269" s="4" t="s">
        <v>116</v>
      </c>
      <c r="B269" s="4"/>
      <c r="C269" s="4" t="s">
        <v>368</v>
      </c>
      <c r="D269" s="4" t="s">
        <v>770</v>
      </c>
      <c r="E269" s="4" t="s">
        <v>1019</v>
      </c>
      <c r="F269" s="20">
        <v>14.18</v>
      </c>
      <c r="G269" s="20">
        <v>0</v>
      </c>
      <c r="H269" s="20">
        <f>F269*AE269</f>
        <v>0</v>
      </c>
      <c r="I269" s="20">
        <f>J269-H269</f>
        <v>0</v>
      </c>
      <c r="J269" s="20">
        <f>F269*G269</f>
        <v>0</v>
      </c>
      <c r="K269" s="20">
        <v>0.0021</v>
      </c>
      <c r="L269" s="20">
        <f>F269*K269</f>
        <v>0.029778</v>
      </c>
      <c r="M269" s="32" t="s">
        <v>1040</v>
      </c>
      <c r="P269" s="36">
        <f>IF(AG269="5",J269,0)</f>
        <v>0</v>
      </c>
      <c r="R269" s="36">
        <f>IF(AG269="1",H269,0)</f>
        <v>0</v>
      </c>
      <c r="S269" s="36">
        <f>IF(AG269="1",I269,0)</f>
        <v>0</v>
      </c>
      <c r="T269" s="36">
        <f>IF(AG269="7",H269,0)</f>
        <v>0</v>
      </c>
      <c r="U269" s="36">
        <f>IF(AG269="7",I269,0)</f>
        <v>0</v>
      </c>
      <c r="V269" s="36">
        <f>IF(AG269="2",H269,0)</f>
        <v>0</v>
      </c>
      <c r="W269" s="36">
        <f>IF(AG269="2",I269,0)</f>
        <v>0</v>
      </c>
      <c r="X269" s="36">
        <f>IF(AG269="0",J269,0)</f>
        <v>0</v>
      </c>
      <c r="Y269" s="29"/>
      <c r="Z269" s="20">
        <f>IF(AD269=0,J269,0)</f>
        <v>0</v>
      </c>
      <c r="AA269" s="20">
        <f>IF(AD269=15,J269,0)</f>
        <v>0</v>
      </c>
      <c r="AB269" s="20">
        <f>IF(AD269=21,J269,0)</f>
        <v>0</v>
      </c>
      <c r="AD269" s="36">
        <v>21</v>
      </c>
      <c r="AE269" s="36">
        <f>G269*0.409998157587668</f>
        <v>0</v>
      </c>
      <c r="AF269" s="36">
        <f>G269*(1-0.409998157587668)</f>
        <v>0</v>
      </c>
      <c r="AG269" s="32" t="s">
        <v>13</v>
      </c>
      <c r="AM269" s="36">
        <f>F269*AE269</f>
        <v>0</v>
      </c>
      <c r="AN269" s="36">
        <f>F269*AF269</f>
        <v>0</v>
      </c>
      <c r="AO269" s="37" t="s">
        <v>1074</v>
      </c>
      <c r="AP269" s="37" t="s">
        <v>1097</v>
      </c>
      <c r="AQ269" s="29" t="s">
        <v>1101</v>
      </c>
      <c r="AS269" s="36">
        <f>AM269+AN269</f>
        <v>0</v>
      </c>
      <c r="AT269" s="36">
        <f>G269/(100-AU269)*100</f>
        <v>0</v>
      </c>
      <c r="AU269" s="36">
        <v>0</v>
      </c>
      <c r="AV269" s="36">
        <f>L269</f>
        <v>0.029778</v>
      </c>
    </row>
    <row r="270" spans="4:6" ht="12.75">
      <c r="D270" s="17" t="s">
        <v>771</v>
      </c>
      <c r="F270" s="21">
        <v>14.18</v>
      </c>
    </row>
    <row r="271" spans="1:48" ht="12.75">
      <c r="A271" s="4" t="s">
        <v>117</v>
      </c>
      <c r="B271" s="4"/>
      <c r="C271" s="4" t="s">
        <v>369</v>
      </c>
      <c r="D271" s="4" t="s">
        <v>772</v>
      </c>
      <c r="E271" s="4" t="s">
        <v>1019</v>
      </c>
      <c r="F271" s="20">
        <v>25.49</v>
      </c>
      <c r="G271" s="20">
        <v>0</v>
      </c>
      <c r="H271" s="20">
        <f>F271*AE271</f>
        <v>0</v>
      </c>
      <c r="I271" s="20">
        <f>J271-H271</f>
        <v>0</v>
      </c>
      <c r="J271" s="20">
        <f>F271*G271</f>
        <v>0</v>
      </c>
      <c r="K271" s="20">
        <v>0.00252</v>
      </c>
      <c r="L271" s="20">
        <f>F271*K271</f>
        <v>0.0642348</v>
      </c>
      <c r="M271" s="32" t="s">
        <v>1040</v>
      </c>
      <c r="P271" s="36">
        <f>IF(AG271="5",J271,0)</f>
        <v>0</v>
      </c>
      <c r="R271" s="36">
        <f>IF(AG271="1",H271,0)</f>
        <v>0</v>
      </c>
      <c r="S271" s="36">
        <f>IF(AG271="1",I271,0)</f>
        <v>0</v>
      </c>
      <c r="T271" s="36">
        <f>IF(AG271="7",H271,0)</f>
        <v>0</v>
      </c>
      <c r="U271" s="36">
        <f>IF(AG271="7",I271,0)</f>
        <v>0</v>
      </c>
      <c r="V271" s="36">
        <f>IF(AG271="2",H271,0)</f>
        <v>0</v>
      </c>
      <c r="W271" s="36">
        <f>IF(AG271="2",I271,0)</f>
        <v>0</v>
      </c>
      <c r="X271" s="36">
        <f>IF(AG271="0",J271,0)</f>
        <v>0</v>
      </c>
      <c r="Y271" s="29"/>
      <c r="Z271" s="20">
        <f>IF(AD271=0,J271,0)</f>
        <v>0</v>
      </c>
      <c r="AA271" s="20">
        <f>IF(AD271=15,J271,0)</f>
        <v>0</v>
      </c>
      <c r="AB271" s="20">
        <f>IF(AD271=21,J271,0)</f>
        <v>0</v>
      </c>
      <c r="AD271" s="36">
        <v>21</v>
      </c>
      <c r="AE271" s="36">
        <f>G271*0.504785305589443</f>
        <v>0</v>
      </c>
      <c r="AF271" s="36">
        <f>G271*(1-0.504785305589443)</f>
        <v>0</v>
      </c>
      <c r="AG271" s="32" t="s">
        <v>13</v>
      </c>
      <c r="AM271" s="36">
        <f>F271*AE271</f>
        <v>0</v>
      </c>
      <c r="AN271" s="36">
        <f>F271*AF271</f>
        <v>0</v>
      </c>
      <c r="AO271" s="37" t="s">
        <v>1074</v>
      </c>
      <c r="AP271" s="37" t="s">
        <v>1097</v>
      </c>
      <c r="AQ271" s="29" t="s">
        <v>1101</v>
      </c>
      <c r="AS271" s="36">
        <f>AM271+AN271</f>
        <v>0</v>
      </c>
      <c r="AT271" s="36">
        <f>G271/(100-AU271)*100</f>
        <v>0</v>
      </c>
      <c r="AU271" s="36">
        <v>0</v>
      </c>
      <c r="AV271" s="36">
        <f>L271</f>
        <v>0.0642348</v>
      </c>
    </row>
    <row r="272" spans="4:6" ht="12.75">
      <c r="D272" s="17" t="s">
        <v>773</v>
      </c>
      <c r="F272" s="21">
        <v>25.49</v>
      </c>
    </row>
    <row r="273" spans="1:48" ht="12.75">
      <c r="A273" s="4" t="s">
        <v>118</v>
      </c>
      <c r="B273" s="4"/>
      <c r="C273" s="4" t="s">
        <v>370</v>
      </c>
      <c r="D273" s="4" t="s">
        <v>774</v>
      </c>
      <c r="E273" s="4" t="s">
        <v>1019</v>
      </c>
      <c r="F273" s="20">
        <v>4</v>
      </c>
      <c r="G273" s="20">
        <v>0</v>
      </c>
      <c r="H273" s="20">
        <f>F273*AE273</f>
        <v>0</v>
      </c>
      <c r="I273" s="20">
        <f>J273-H273</f>
        <v>0</v>
      </c>
      <c r="J273" s="20">
        <f>F273*G273</f>
        <v>0</v>
      </c>
      <c r="K273" s="20">
        <v>0.0006</v>
      </c>
      <c r="L273" s="20">
        <f>F273*K273</f>
        <v>0.0024</v>
      </c>
      <c r="M273" s="32" t="s">
        <v>1040</v>
      </c>
      <c r="P273" s="36">
        <f>IF(AG273="5",J273,0)</f>
        <v>0</v>
      </c>
      <c r="R273" s="36">
        <f>IF(AG273="1",H273,0)</f>
        <v>0</v>
      </c>
      <c r="S273" s="36">
        <f>IF(AG273="1",I273,0)</f>
        <v>0</v>
      </c>
      <c r="T273" s="36">
        <f>IF(AG273="7",H273,0)</f>
        <v>0</v>
      </c>
      <c r="U273" s="36">
        <f>IF(AG273="7",I273,0)</f>
        <v>0</v>
      </c>
      <c r="V273" s="36">
        <f>IF(AG273="2",H273,0)</f>
        <v>0</v>
      </c>
      <c r="W273" s="36">
        <f>IF(AG273="2",I273,0)</f>
        <v>0</v>
      </c>
      <c r="X273" s="36">
        <f>IF(AG273="0",J273,0)</f>
        <v>0</v>
      </c>
      <c r="Y273" s="29"/>
      <c r="Z273" s="20">
        <f>IF(AD273=0,J273,0)</f>
        <v>0</v>
      </c>
      <c r="AA273" s="20">
        <f>IF(AD273=15,J273,0)</f>
        <v>0</v>
      </c>
      <c r="AB273" s="20">
        <f>IF(AD273=21,J273,0)</f>
        <v>0</v>
      </c>
      <c r="AD273" s="36">
        <v>21</v>
      </c>
      <c r="AE273" s="36">
        <f>G273*0.788986784140969</f>
        <v>0</v>
      </c>
      <c r="AF273" s="36">
        <f>G273*(1-0.788986784140969)</f>
        <v>0</v>
      </c>
      <c r="AG273" s="32" t="s">
        <v>13</v>
      </c>
      <c r="AM273" s="36">
        <f>F273*AE273</f>
        <v>0</v>
      </c>
      <c r="AN273" s="36">
        <f>F273*AF273</f>
        <v>0</v>
      </c>
      <c r="AO273" s="37" t="s">
        <v>1074</v>
      </c>
      <c r="AP273" s="37" t="s">
        <v>1097</v>
      </c>
      <c r="AQ273" s="29" t="s">
        <v>1101</v>
      </c>
      <c r="AS273" s="36">
        <f>AM273+AN273</f>
        <v>0</v>
      </c>
      <c r="AT273" s="36">
        <f>G273/(100-AU273)*100</f>
        <v>0</v>
      </c>
      <c r="AU273" s="36">
        <v>0</v>
      </c>
      <c r="AV273" s="36">
        <f>L273</f>
        <v>0.0024</v>
      </c>
    </row>
    <row r="274" spans="1:48" ht="12.75">
      <c r="A274" s="4" t="s">
        <v>119</v>
      </c>
      <c r="B274" s="4"/>
      <c r="C274" s="4" t="s">
        <v>371</v>
      </c>
      <c r="D274" s="4" t="s">
        <v>775</v>
      </c>
      <c r="E274" s="4" t="s">
        <v>1019</v>
      </c>
      <c r="F274" s="20">
        <v>15.81</v>
      </c>
      <c r="G274" s="20">
        <v>0</v>
      </c>
      <c r="H274" s="20">
        <f>F274*AE274</f>
        <v>0</v>
      </c>
      <c r="I274" s="20">
        <f>J274-H274</f>
        <v>0</v>
      </c>
      <c r="J274" s="20">
        <f>F274*G274</f>
        <v>0</v>
      </c>
      <c r="K274" s="20">
        <v>0.00032</v>
      </c>
      <c r="L274" s="20">
        <f>F274*K274</f>
        <v>0.005059200000000001</v>
      </c>
      <c r="M274" s="32" t="s">
        <v>1040</v>
      </c>
      <c r="P274" s="36">
        <f>IF(AG274="5",J274,0)</f>
        <v>0</v>
      </c>
      <c r="R274" s="36">
        <f>IF(AG274="1",H274,0)</f>
        <v>0</v>
      </c>
      <c r="S274" s="36">
        <f>IF(AG274="1",I274,0)</f>
        <v>0</v>
      </c>
      <c r="T274" s="36">
        <f>IF(AG274="7",H274,0)</f>
        <v>0</v>
      </c>
      <c r="U274" s="36">
        <f>IF(AG274="7",I274,0)</f>
        <v>0</v>
      </c>
      <c r="V274" s="36">
        <f>IF(AG274="2",H274,0)</f>
        <v>0</v>
      </c>
      <c r="W274" s="36">
        <f>IF(AG274="2",I274,0)</f>
        <v>0</v>
      </c>
      <c r="X274" s="36">
        <f>IF(AG274="0",J274,0)</f>
        <v>0</v>
      </c>
      <c r="Y274" s="29"/>
      <c r="Z274" s="20">
        <f>IF(AD274=0,J274,0)</f>
        <v>0</v>
      </c>
      <c r="AA274" s="20">
        <f>IF(AD274=15,J274,0)</f>
        <v>0</v>
      </c>
      <c r="AB274" s="20">
        <f>IF(AD274=21,J274,0)</f>
        <v>0</v>
      </c>
      <c r="AD274" s="36">
        <v>21</v>
      </c>
      <c r="AE274" s="36">
        <f>G274*0.710631970260223</f>
        <v>0</v>
      </c>
      <c r="AF274" s="36">
        <f>G274*(1-0.710631970260223)</f>
        <v>0</v>
      </c>
      <c r="AG274" s="32" t="s">
        <v>13</v>
      </c>
      <c r="AM274" s="36">
        <f>F274*AE274</f>
        <v>0</v>
      </c>
      <c r="AN274" s="36">
        <f>F274*AF274</f>
        <v>0</v>
      </c>
      <c r="AO274" s="37" t="s">
        <v>1074</v>
      </c>
      <c r="AP274" s="37" t="s">
        <v>1097</v>
      </c>
      <c r="AQ274" s="29" t="s">
        <v>1101</v>
      </c>
      <c r="AS274" s="36">
        <f>AM274+AN274</f>
        <v>0</v>
      </c>
      <c r="AT274" s="36">
        <f>G274/(100-AU274)*100</f>
        <v>0</v>
      </c>
      <c r="AU274" s="36">
        <v>0</v>
      </c>
      <c r="AV274" s="36">
        <f>L274</f>
        <v>0.005059200000000001</v>
      </c>
    </row>
    <row r="275" spans="4:6" ht="12.75">
      <c r="D275" s="17" t="s">
        <v>776</v>
      </c>
      <c r="F275" s="21">
        <v>15.81</v>
      </c>
    </row>
    <row r="276" spans="1:48" ht="12.75">
      <c r="A276" s="4" t="s">
        <v>120</v>
      </c>
      <c r="B276" s="4"/>
      <c r="C276" s="4" t="s">
        <v>372</v>
      </c>
      <c r="D276" s="4" t="s">
        <v>777</v>
      </c>
      <c r="E276" s="4" t="s">
        <v>1018</v>
      </c>
      <c r="F276" s="20">
        <v>8</v>
      </c>
      <c r="G276" s="20">
        <v>0</v>
      </c>
      <c r="H276" s="20">
        <f>F276*AE276</f>
        <v>0</v>
      </c>
      <c r="I276" s="20">
        <f>J276-H276</f>
        <v>0</v>
      </c>
      <c r="J276" s="20">
        <f>F276*G276</f>
        <v>0</v>
      </c>
      <c r="K276" s="20">
        <v>0.00072</v>
      </c>
      <c r="L276" s="20">
        <f>F276*K276</f>
        <v>0.00576</v>
      </c>
      <c r="M276" s="32" t="s">
        <v>1040</v>
      </c>
      <c r="P276" s="36">
        <f>IF(AG276="5",J276,0)</f>
        <v>0</v>
      </c>
      <c r="R276" s="36">
        <f>IF(AG276="1",H276,0)</f>
        <v>0</v>
      </c>
      <c r="S276" s="36">
        <f>IF(AG276="1",I276,0)</f>
        <v>0</v>
      </c>
      <c r="T276" s="36">
        <f>IF(AG276="7",H276,0)</f>
        <v>0</v>
      </c>
      <c r="U276" s="36">
        <f>IF(AG276="7",I276,0)</f>
        <v>0</v>
      </c>
      <c r="V276" s="36">
        <f>IF(AG276="2",H276,0)</f>
        <v>0</v>
      </c>
      <c r="W276" s="36">
        <f>IF(AG276="2",I276,0)</f>
        <v>0</v>
      </c>
      <c r="X276" s="36">
        <f>IF(AG276="0",J276,0)</f>
        <v>0</v>
      </c>
      <c r="Y276" s="29"/>
      <c r="Z276" s="20">
        <f>IF(AD276=0,J276,0)</f>
        <v>0</v>
      </c>
      <c r="AA276" s="20">
        <f>IF(AD276=15,J276,0)</f>
        <v>0</v>
      </c>
      <c r="AB276" s="20">
        <f>IF(AD276=21,J276,0)</f>
        <v>0</v>
      </c>
      <c r="AD276" s="36">
        <v>21</v>
      </c>
      <c r="AE276" s="36">
        <f>G276*0.858348623853211</f>
        <v>0</v>
      </c>
      <c r="AF276" s="36">
        <f>G276*(1-0.858348623853211)</f>
        <v>0</v>
      </c>
      <c r="AG276" s="32" t="s">
        <v>13</v>
      </c>
      <c r="AM276" s="36">
        <f>F276*AE276</f>
        <v>0</v>
      </c>
      <c r="AN276" s="36">
        <f>F276*AF276</f>
        <v>0</v>
      </c>
      <c r="AO276" s="37" t="s">
        <v>1074</v>
      </c>
      <c r="AP276" s="37" t="s">
        <v>1097</v>
      </c>
      <c r="AQ276" s="29" t="s">
        <v>1101</v>
      </c>
      <c r="AS276" s="36">
        <f>AM276+AN276</f>
        <v>0</v>
      </c>
      <c r="AT276" s="36">
        <f>G276/(100-AU276)*100</f>
        <v>0</v>
      </c>
      <c r="AU276" s="36">
        <v>0</v>
      </c>
      <c r="AV276" s="36">
        <f>L276</f>
        <v>0.00576</v>
      </c>
    </row>
    <row r="277" spans="3:13" ht="12.75">
      <c r="C277" s="14" t="s">
        <v>255</v>
      </c>
      <c r="D277" s="91" t="s">
        <v>778</v>
      </c>
      <c r="E277" s="92"/>
      <c r="F277" s="92"/>
      <c r="G277" s="92"/>
      <c r="H277" s="92"/>
      <c r="I277" s="92"/>
      <c r="J277" s="92"/>
      <c r="K277" s="92"/>
      <c r="L277" s="92"/>
      <c r="M277" s="92"/>
    </row>
    <row r="278" spans="1:48" ht="12.75">
      <c r="A278" s="4" t="s">
        <v>121</v>
      </c>
      <c r="B278" s="4"/>
      <c r="C278" s="4" t="s">
        <v>373</v>
      </c>
      <c r="D278" s="4" t="s">
        <v>779</v>
      </c>
      <c r="E278" s="4" t="s">
        <v>1022</v>
      </c>
      <c r="F278" s="20">
        <v>1</v>
      </c>
      <c r="G278" s="20">
        <v>0</v>
      </c>
      <c r="H278" s="20">
        <f>F278*AE278</f>
        <v>0</v>
      </c>
      <c r="I278" s="20">
        <f>J278-H278</f>
        <v>0</v>
      </c>
      <c r="J278" s="20">
        <f>F278*G278</f>
        <v>0</v>
      </c>
      <c r="K278" s="20">
        <v>0</v>
      </c>
      <c r="L278" s="20">
        <f>F278*K278</f>
        <v>0</v>
      </c>
      <c r="M278" s="32"/>
      <c r="P278" s="36">
        <f>IF(AG278="5",J278,0)</f>
        <v>0</v>
      </c>
      <c r="R278" s="36">
        <f>IF(AG278="1",H278,0)</f>
        <v>0</v>
      </c>
      <c r="S278" s="36">
        <f>IF(AG278="1",I278,0)</f>
        <v>0</v>
      </c>
      <c r="T278" s="36">
        <f>IF(AG278="7",H278,0)</f>
        <v>0</v>
      </c>
      <c r="U278" s="36">
        <f>IF(AG278="7",I278,0)</f>
        <v>0</v>
      </c>
      <c r="V278" s="36">
        <f>IF(AG278="2",H278,0)</f>
        <v>0</v>
      </c>
      <c r="W278" s="36">
        <f>IF(AG278="2",I278,0)</f>
        <v>0</v>
      </c>
      <c r="X278" s="36">
        <f>IF(AG278="0",J278,0)</f>
        <v>0</v>
      </c>
      <c r="Y278" s="29"/>
      <c r="Z278" s="20">
        <f>IF(AD278=0,J278,0)</f>
        <v>0</v>
      </c>
      <c r="AA278" s="20">
        <f>IF(AD278=15,J278,0)</f>
        <v>0</v>
      </c>
      <c r="AB278" s="20">
        <f>IF(AD278=21,J278,0)</f>
        <v>0</v>
      </c>
      <c r="AD278" s="36">
        <v>21</v>
      </c>
      <c r="AE278" s="36">
        <f>G278*1</f>
        <v>0</v>
      </c>
      <c r="AF278" s="36">
        <f>G278*(1-1)</f>
        <v>0</v>
      </c>
      <c r="AG278" s="32" t="s">
        <v>13</v>
      </c>
      <c r="AM278" s="36">
        <f>F278*AE278</f>
        <v>0</v>
      </c>
      <c r="AN278" s="36">
        <f>F278*AF278</f>
        <v>0</v>
      </c>
      <c r="AO278" s="37" t="s">
        <v>1074</v>
      </c>
      <c r="AP278" s="37" t="s">
        <v>1097</v>
      </c>
      <c r="AQ278" s="29" t="s">
        <v>1101</v>
      </c>
      <c r="AS278" s="36">
        <f>AM278+AN278</f>
        <v>0</v>
      </c>
      <c r="AT278" s="36">
        <f>G278/(100-AU278)*100</f>
        <v>0</v>
      </c>
      <c r="AU278" s="36">
        <v>0</v>
      </c>
      <c r="AV278" s="36">
        <f>L278</f>
        <v>0</v>
      </c>
    </row>
    <row r="279" spans="1:48" ht="12.75">
      <c r="A279" s="4" t="s">
        <v>122</v>
      </c>
      <c r="B279" s="4"/>
      <c r="C279" s="4" t="s">
        <v>374</v>
      </c>
      <c r="D279" s="4" t="s">
        <v>780</v>
      </c>
      <c r="E279" s="4" t="s">
        <v>1019</v>
      </c>
      <c r="F279" s="20">
        <v>1.8</v>
      </c>
      <c r="G279" s="20">
        <v>0</v>
      </c>
      <c r="H279" s="20">
        <f>F279*AE279</f>
        <v>0</v>
      </c>
      <c r="I279" s="20">
        <f>J279-H279</f>
        <v>0</v>
      </c>
      <c r="J279" s="20">
        <f>F279*G279</f>
        <v>0</v>
      </c>
      <c r="K279" s="20">
        <v>0.00034</v>
      </c>
      <c r="L279" s="20">
        <f>F279*K279</f>
        <v>0.000612</v>
      </c>
      <c r="M279" s="32" t="s">
        <v>1040</v>
      </c>
      <c r="P279" s="36">
        <f>IF(AG279="5",J279,0)</f>
        <v>0</v>
      </c>
      <c r="R279" s="36">
        <f>IF(AG279="1",H279,0)</f>
        <v>0</v>
      </c>
      <c r="S279" s="36">
        <f>IF(AG279="1",I279,0)</f>
        <v>0</v>
      </c>
      <c r="T279" s="36">
        <f>IF(AG279="7",H279,0)</f>
        <v>0</v>
      </c>
      <c r="U279" s="36">
        <f>IF(AG279="7",I279,0)</f>
        <v>0</v>
      </c>
      <c r="V279" s="36">
        <f>IF(AG279="2",H279,0)</f>
        <v>0</v>
      </c>
      <c r="W279" s="36">
        <f>IF(AG279="2",I279,0)</f>
        <v>0</v>
      </c>
      <c r="X279" s="36">
        <f>IF(AG279="0",J279,0)</f>
        <v>0</v>
      </c>
      <c r="Y279" s="29"/>
      <c r="Z279" s="20">
        <f>IF(AD279=0,J279,0)</f>
        <v>0</v>
      </c>
      <c r="AA279" s="20">
        <f>IF(AD279=15,J279,0)</f>
        <v>0</v>
      </c>
      <c r="AB279" s="20">
        <f>IF(AD279=21,J279,0)</f>
        <v>0</v>
      </c>
      <c r="AD279" s="36">
        <v>21</v>
      </c>
      <c r="AE279" s="36">
        <f>G279*0.408769230769231</f>
        <v>0</v>
      </c>
      <c r="AF279" s="36">
        <f>G279*(1-0.408769230769231)</f>
        <v>0</v>
      </c>
      <c r="AG279" s="32" t="s">
        <v>13</v>
      </c>
      <c r="AM279" s="36">
        <f>F279*AE279</f>
        <v>0</v>
      </c>
      <c r="AN279" s="36">
        <f>F279*AF279</f>
        <v>0</v>
      </c>
      <c r="AO279" s="37" t="s">
        <v>1074</v>
      </c>
      <c r="AP279" s="37" t="s">
        <v>1097</v>
      </c>
      <c r="AQ279" s="29" t="s">
        <v>1101</v>
      </c>
      <c r="AS279" s="36">
        <f>AM279+AN279</f>
        <v>0</v>
      </c>
      <c r="AT279" s="36">
        <f>G279/(100-AU279)*100</f>
        <v>0</v>
      </c>
      <c r="AU279" s="36">
        <v>0</v>
      </c>
      <c r="AV279" s="36">
        <f>L279</f>
        <v>0.000612</v>
      </c>
    </row>
    <row r="280" spans="4:6" ht="12.75">
      <c r="D280" s="17" t="s">
        <v>781</v>
      </c>
      <c r="F280" s="21">
        <v>1.8</v>
      </c>
    </row>
    <row r="281" spans="1:48" ht="12.75">
      <c r="A281" s="6" t="s">
        <v>123</v>
      </c>
      <c r="B281" s="6"/>
      <c r="C281" s="6" t="s">
        <v>375</v>
      </c>
      <c r="D281" s="6" t="s">
        <v>782</v>
      </c>
      <c r="E281" s="6" t="s">
        <v>1018</v>
      </c>
      <c r="F281" s="22">
        <v>1</v>
      </c>
      <c r="G281" s="22">
        <v>0</v>
      </c>
      <c r="H281" s="22">
        <f>F281*AE281</f>
        <v>0</v>
      </c>
      <c r="I281" s="22">
        <f>J281-H281</f>
        <v>0</v>
      </c>
      <c r="J281" s="22">
        <f>F281*G281</f>
        <v>0</v>
      </c>
      <c r="K281" s="22">
        <v>0.00049</v>
      </c>
      <c r="L281" s="22">
        <f>F281*K281</f>
        <v>0.00049</v>
      </c>
      <c r="M281" s="33" t="s">
        <v>1040</v>
      </c>
      <c r="P281" s="36">
        <f>IF(AG281="5",J281,0)</f>
        <v>0</v>
      </c>
      <c r="R281" s="36">
        <f>IF(AG281="1",H281,0)</f>
        <v>0</v>
      </c>
      <c r="S281" s="36">
        <f>IF(AG281="1",I281,0)</f>
        <v>0</v>
      </c>
      <c r="T281" s="36">
        <f>IF(AG281="7",H281,0)</f>
        <v>0</v>
      </c>
      <c r="U281" s="36">
        <f>IF(AG281="7",I281,0)</f>
        <v>0</v>
      </c>
      <c r="V281" s="36">
        <f>IF(AG281="2",H281,0)</f>
        <v>0</v>
      </c>
      <c r="W281" s="36">
        <f>IF(AG281="2",I281,0)</f>
        <v>0</v>
      </c>
      <c r="X281" s="36">
        <f>IF(AG281="0",J281,0)</f>
        <v>0</v>
      </c>
      <c r="Y281" s="29"/>
      <c r="Z281" s="22">
        <f>IF(AD281=0,J281,0)</f>
        <v>0</v>
      </c>
      <c r="AA281" s="22">
        <f>IF(AD281=15,J281,0)</f>
        <v>0</v>
      </c>
      <c r="AB281" s="22">
        <f>IF(AD281=21,J281,0)</f>
        <v>0</v>
      </c>
      <c r="AD281" s="36">
        <v>21</v>
      </c>
      <c r="AE281" s="36">
        <f>G281*1</f>
        <v>0</v>
      </c>
      <c r="AF281" s="36">
        <f>G281*(1-1)</f>
        <v>0</v>
      </c>
      <c r="AG281" s="33" t="s">
        <v>13</v>
      </c>
      <c r="AM281" s="36">
        <f>F281*AE281</f>
        <v>0</v>
      </c>
      <c r="AN281" s="36">
        <f>F281*AF281</f>
        <v>0</v>
      </c>
      <c r="AO281" s="37" t="s">
        <v>1074</v>
      </c>
      <c r="AP281" s="37" t="s">
        <v>1097</v>
      </c>
      <c r="AQ281" s="29" t="s">
        <v>1101</v>
      </c>
      <c r="AS281" s="36">
        <f>AM281+AN281</f>
        <v>0</v>
      </c>
      <c r="AT281" s="36">
        <f>G281/(100-AU281)*100</f>
        <v>0</v>
      </c>
      <c r="AU281" s="36">
        <v>0</v>
      </c>
      <c r="AV281" s="36">
        <f>L281</f>
        <v>0.00049</v>
      </c>
    </row>
    <row r="282" spans="1:48" ht="12.75">
      <c r="A282" s="4" t="s">
        <v>124</v>
      </c>
      <c r="B282" s="4"/>
      <c r="C282" s="4" t="s">
        <v>376</v>
      </c>
      <c r="D282" s="4" t="s">
        <v>783</v>
      </c>
      <c r="E282" s="4" t="s">
        <v>1018</v>
      </c>
      <c r="F282" s="20">
        <v>2</v>
      </c>
      <c r="G282" s="20">
        <v>0</v>
      </c>
      <c r="H282" s="20">
        <f>F282*AE282</f>
        <v>0</v>
      </c>
      <c r="I282" s="20">
        <f>J282-H282</f>
        <v>0</v>
      </c>
      <c r="J282" s="20">
        <f>F282*G282</f>
        <v>0</v>
      </c>
      <c r="K282" s="20">
        <v>0.0758</v>
      </c>
      <c r="L282" s="20">
        <f>F282*K282</f>
        <v>0.1516</v>
      </c>
      <c r="M282" s="32" t="s">
        <v>1040</v>
      </c>
      <c r="P282" s="36">
        <f>IF(AG282="5",J282,0)</f>
        <v>0</v>
      </c>
      <c r="R282" s="36">
        <f>IF(AG282="1",H282,0)</f>
        <v>0</v>
      </c>
      <c r="S282" s="36">
        <f>IF(AG282="1",I282,0)</f>
        <v>0</v>
      </c>
      <c r="T282" s="36">
        <f>IF(AG282="7",H282,0)</f>
        <v>0</v>
      </c>
      <c r="U282" s="36">
        <f>IF(AG282="7",I282,0)</f>
        <v>0</v>
      </c>
      <c r="V282" s="36">
        <f>IF(AG282="2",H282,0)</f>
        <v>0</v>
      </c>
      <c r="W282" s="36">
        <f>IF(AG282="2",I282,0)</f>
        <v>0</v>
      </c>
      <c r="X282" s="36">
        <f>IF(AG282="0",J282,0)</f>
        <v>0</v>
      </c>
      <c r="Y282" s="29"/>
      <c r="Z282" s="20">
        <f>IF(AD282=0,J282,0)</f>
        <v>0</v>
      </c>
      <c r="AA282" s="20">
        <f>IF(AD282=15,J282,0)</f>
        <v>0</v>
      </c>
      <c r="AB282" s="20">
        <f>IF(AD282=21,J282,0)</f>
        <v>0</v>
      </c>
      <c r="AD282" s="36">
        <v>21</v>
      </c>
      <c r="AE282" s="36">
        <f>G282*0.781651131501436</f>
        <v>0</v>
      </c>
      <c r="AF282" s="36">
        <f>G282*(1-0.781651131501436)</f>
        <v>0</v>
      </c>
      <c r="AG282" s="32" t="s">
        <v>13</v>
      </c>
      <c r="AM282" s="36">
        <f>F282*AE282</f>
        <v>0</v>
      </c>
      <c r="AN282" s="36">
        <f>F282*AF282</f>
        <v>0</v>
      </c>
      <c r="AO282" s="37" t="s">
        <v>1074</v>
      </c>
      <c r="AP282" s="37" t="s">
        <v>1097</v>
      </c>
      <c r="AQ282" s="29" t="s">
        <v>1101</v>
      </c>
      <c r="AS282" s="36">
        <f>AM282+AN282</f>
        <v>0</v>
      </c>
      <c r="AT282" s="36">
        <f>G282/(100-AU282)*100</f>
        <v>0</v>
      </c>
      <c r="AU282" s="36">
        <v>0</v>
      </c>
      <c r="AV282" s="36">
        <f>L282</f>
        <v>0.1516</v>
      </c>
    </row>
    <row r="283" spans="1:48" ht="12.75">
      <c r="A283" s="4" t="s">
        <v>125</v>
      </c>
      <c r="B283" s="4"/>
      <c r="C283" s="4" t="s">
        <v>368</v>
      </c>
      <c r="D283" s="4" t="s">
        <v>770</v>
      </c>
      <c r="E283" s="4" t="s">
        <v>1019</v>
      </c>
      <c r="F283" s="20">
        <v>15.25</v>
      </c>
      <c r="G283" s="20">
        <v>0</v>
      </c>
      <c r="H283" s="20">
        <f>F283*AE283</f>
        <v>0</v>
      </c>
      <c r="I283" s="20">
        <f>J283-H283</f>
        <v>0</v>
      </c>
      <c r="J283" s="20">
        <f>F283*G283</f>
        <v>0</v>
      </c>
      <c r="K283" s="20">
        <v>0.0021</v>
      </c>
      <c r="L283" s="20">
        <f>F283*K283</f>
        <v>0.032025</v>
      </c>
      <c r="M283" s="32" t="s">
        <v>1040</v>
      </c>
      <c r="P283" s="36">
        <f>IF(AG283="5",J283,0)</f>
        <v>0</v>
      </c>
      <c r="R283" s="36">
        <f>IF(AG283="1",H283,0)</f>
        <v>0</v>
      </c>
      <c r="S283" s="36">
        <f>IF(AG283="1",I283,0)</f>
        <v>0</v>
      </c>
      <c r="T283" s="36">
        <f>IF(AG283="7",H283,0)</f>
        <v>0</v>
      </c>
      <c r="U283" s="36">
        <f>IF(AG283="7",I283,0)</f>
        <v>0</v>
      </c>
      <c r="V283" s="36">
        <f>IF(AG283="2",H283,0)</f>
        <v>0</v>
      </c>
      <c r="W283" s="36">
        <f>IF(AG283="2",I283,0)</f>
        <v>0</v>
      </c>
      <c r="X283" s="36">
        <f>IF(AG283="0",J283,0)</f>
        <v>0</v>
      </c>
      <c r="Y283" s="29"/>
      <c r="Z283" s="20">
        <f>IF(AD283=0,J283,0)</f>
        <v>0</v>
      </c>
      <c r="AA283" s="20">
        <f>IF(AD283=15,J283,0)</f>
        <v>0</v>
      </c>
      <c r="AB283" s="20">
        <f>IF(AD283=21,J283,0)</f>
        <v>0</v>
      </c>
      <c r="AD283" s="36">
        <v>21</v>
      </c>
      <c r="AE283" s="36">
        <f>G283*0.409998157587668</f>
        <v>0</v>
      </c>
      <c r="AF283" s="36">
        <f>G283*(1-0.409998157587668)</f>
        <v>0</v>
      </c>
      <c r="AG283" s="32" t="s">
        <v>13</v>
      </c>
      <c r="AM283" s="36">
        <f>F283*AE283</f>
        <v>0</v>
      </c>
      <c r="AN283" s="36">
        <f>F283*AF283</f>
        <v>0</v>
      </c>
      <c r="AO283" s="37" t="s">
        <v>1074</v>
      </c>
      <c r="AP283" s="37" t="s">
        <v>1097</v>
      </c>
      <c r="AQ283" s="29" t="s">
        <v>1101</v>
      </c>
      <c r="AS283" s="36">
        <f>AM283+AN283</f>
        <v>0</v>
      </c>
      <c r="AT283" s="36">
        <f>G283/(100-AU283)*100</f>
        <v>0</v>
      </c>
      <c r="AU283" s="36">
        <v>0</v>
      </c>
      <c r="AV283" s="36">
        <f>L283</f>
        <v>0.032025</v>
      </c>
    </row>
    <row r="284" spans="4:6" ht="12.75">
      <c r="D284" s="17" t="s">
        <v>784</v>
      </c>
      <c r="F284" s="21">
        <v>15.25</v>
      </c>
    </row>
    <row r="285" spans="1:48" ht="12.75">
      <c r="A285" s="4" t="s">
        <v>126</v>
      </c>
      <c r="B285" s="4"/>
      <c r="C285" s="4" t="s">
        <v>377</v>
      </c>
      <c r="D285" s="4" t="s">
        <v>752</v>
      </c>
      <c r="E285" s="4" t="s">
        <v>1016</v>
      </c>
      <c r="F285" s="20">
        <v>12.3</v>
      </c>
      <c r="G285" s="20">
        <v>0</v>
      </c>
      <c r="H285" s="20">
        <f>F285*AE285</f>
        <v>0</v>
      </c>
      <c r="I285" s="20">
        <f>J285-H285</f>
        <v>0</v>
      </c>
      <c r="J285" s="20">
        <f>F285*G285</f>
        <v>0</v>
      </c>
      <c r="K285" s="20">
        <v>0</v>
      </c>
      <c r="L285" s="20">
        <f>F285*K285</f>
        <v>0</v>
      </c>
      <c r="M285" s="32" t="s">
        <v>1040</v>
      </c>
      <c r="P285" s="36">
        <f>IF(AG285="5",J285,0)</f>
        <v>0</v>
      </c>
      <c r="R285" s="36">
        <f>IF(AG285="1",H285,0)</f>
        <v>0</v>
      </c>
      <c r="S285" s="36">
        <f>IF(AG285="1",I285,0)</f>
        <v>0</v>
      </c>
      <c r="T285" s="36">
        <f>IF(AG285="7",H285,0)</f>
        <v>0</v>
      </c>
      <c r="U285" s="36">
        <f>IF(AG285="7",I285,0)</f>
        <v>0</v>
      </c>
      <c r="V285" s="36">
        <f>IF(AG285="2",H285,0)</f>
        <v>0</v>
      </c>
      <c r="W285" s="36">
        <f>IF(AG285="2",I285,0)</f>
        <v>0</v>
      </c>
      <c r="X285" s="36">
        <f>IF(AG285="0",J285,0)</f>
        <v>0</v>
      </c>
      <c r="Y285" s="29"/>
      <c r="Z285" s="20">
        <f>IF(AD285=0,J285,0)</f>
        <v>0</v>
      </c>
      <c r="AA285" s="20">
        <f>IF(AD285=15,J285,0)</f>
        <v>0</v>
      </c>
      <c r="AB285" s="20">
        <f>IF(AD285=21,J285,0)</f>
        <v>0</v>
      </c>
      <c r="AD285" s="36">
        <v>21</v>
      </c>
      <c r="AE285" s="36">
        <f>G285*0</f>
        <v>0</v>
      </c>
      <c r="AF285" s="36">
        <f>G285*(1-0)</f>
        <v>0</v>
      </c>
      <c r="AG285" s="32" t="s">
        <v>13</v>
      </c>
      <c r="AM285" s="36">
        <f>F285*AE285</f>
        <v>0</v>
      </c>
      <c r="AN285" s="36">
        <f>F285*AF285</f>
        <v>0</v>
      </c>
      <c r="AO285" s="37" t="s">
        <v>1074</v>
      </c>
      <c r="AP285" s="37" t="s">
        <v>1097</v>
      </c>
      <c r="AQ285" s="29" t="s">
        <v>1101</v>
      </c>
      <c r="AS285" s="36">
        <f>AM285+AN285</f>
        <v>0</v>
      </c>
      <c r="AT285" s="36">
        <f>G285/(100-AU285)*100</f>
        <v>0</v>
      </c>
      <c r="AU285" s="36">
        <v>0</v>
      </c>
      <c r="AV285" s="36">
        <f>L285</f>
        <v>0</v>
      </c>
    </row>
    <row r="286" spans="4:6" ht="12.75">
      <c r="D286" s="17" t="s">
        <v>785</v>
      </c>
      <c r="F286" s="21">
        <v>12.3</v>
      </c>
    </row>
    <row r="287" spans="1:48" ht="12.75">
      <c r="A287" s="6" t="s">
        <v>127</v>
      </c>
      <c r="B287" s="6"/>
      <c r="C287" s="6" t="s">
        <v>378</v>
      </c>
      <c r="D287" s="6" t="s">
        <v>786</v>
      </c>
      <c r="E287" s="6" t="s">
        <v>1016</v>
      </c>
      <c r="F287" s="22">
        <v>14.145</v>
      </c>
      <c r="G287" s="22">
        <v>0</v>
      </c>
      <c r="H287" s="22">
        <f>F287*AE287</f>
        <v>0</v>
      </c>
      <c r="I287" s="22">
        <f>J287-H287</f>
        <v>0</v>
      </c>
      <c r="J287" s="22">
        <f>F287*G287</f>
        <v>0</v>
      </c>
      <c r="K287" s="22">
        <v>0.0003</v>
      </c>
      <c r="L287" s="22">
        <f>F287*K287</f>
        <v>0.0042435</v>
      </c>
      <c r="M287" s="33" t="s">
        <v>1040</v>
      </c>
      <c r="P287" s="36">
        <f>IF(AG287="5",J287,0)</f>
        <v>0</v>
      </c>
      <c r="R287" s="36">
        <f>IF(AG287="1",H287,0)</f>
        <v>0</v>
      </c>
      <c r="S287" s="36">
        <f>IF(AG287="1",I287,0)</f>
        <v>0</v>
      </c>
      <c r="T287" s="36">
        <f>IF(AG287="7",H287,0)</f>
        <v>0</v>
      </c>
      <c r="U287" s="36">
        <f>IF(AG287="7",I287,0)</f>
        <v>0</v>
      </c>
      <c r="V287" s="36">
        <f>IF(AG287="2",H287,0)</f>
        <v>0</v>
      </c>
      <c r="W287" s="36">
        <f>IF(AG287="2",I287,0)</f>
        <v>0</v>
      </c>
      <c r="X287" s="36">
        <f>IF(AG287="0",J287,0)</f>
        <v>0</v>
      </c>
      <c r="Y287" s="29"/>
      <c r="Z287" s="22">
        <f>IF(AD287=0,J287,0)</f>
        <v>0</v>
      </c>
      <c r="AA287" s="22">
        <f>IF(AD287=15,J287,0)</f>
        <v>0</v>
      </c>
      <c r="AB287" s="22">
        <f>IF(AD287=21,J287,0)</f>
        <v>0</v>
      </c>
      <c r="AD287" s="36">
        <v>21</v>
      </c>
      <c r="AE287" s="36">
        <f>G287*1</f>
        <v>0</v>
      </c>
      <c r="AF287" s="36">
        <f>G287*(1-1)</f>
        <v>0</v>
      </c>
      <c r="AG287" s="33" t="s">
        <v>13</v>
      </c>
      <c r="AM287" s="36">
        <f>F287*AE287</f>
        <v>0</v>
      </c>
      <c r="AN287" s="36">
        <f>F287*AF287</f>
        <v>0</v>
      </c>
      <c r="AO287" s="37" t="s">
        <v>1074</v>
      </c>
      <c r="AP287" s="37" t="s">
        <v>1097</v>
      </c>
      <c r="AQ287" s="29" t="s">
        <v>1101</v>
      </c>
      <c r="AS287" s="36">
        <f>AM287+AN287</f>
        <v>0</v>
      </c>
      <c r="AT287" s="36">
        <f>G287/(100-AU287)*100</f>
        <v>0</v>
      </c>
      <c r="AU287" s="36">
        <v>0</v>
      </c>
      <c r="AV287" s="36">
        <f>L287</f>
        <v>0.0042435</v>
      </c>
    </row>
    <row r="288" spans="4:6" ht="12.75">
      <c r="D288" s="17" t="s">
        <v>787</v>
      </c>
      <c r="F288" s="21">
        <v>12.3</v>
      </c>
    </row>
    <row r="289" spans="4:6" ht="12.75">
      <c r="D289" s="17" t="s">
        <v>788</v>
      </c>
      <c r="F289" s="21">
        <v>1.845</v>
      </c>
    </row>
    <row r="290" spans="1:48" ht="12.75">
      <c r="A290" s="4" t="s">
        <v>128</v>
      </c>
      <c r="B290" s="4"/>
      <c r="C290" s="4" t="s">
        <v>379</v>
      </c>
      <c r="D290" s="4" t="s">
        <v>789</v>
      </c>
      <c r="E290" s="4" t="s">
        <v>1015</v>
      </c>
      <c r="F290" s="20">
        <v>0.31778</v>
      </c>
      <c r="G290" s="20">
        <v>0</v>
      </c>
      <c r="H290" s="20">
        <f>F290*AE290</f>
        <v>0</v>
      </c>
      <c r="I290" s="20">
        <f>J290-H290</f>
        <v>0</v>
      </c>
      <c r="J290" s="20">
        <f>F290*G290</f>
        <v>0</v>
      </c>
      <c r="K290" s="20">
        <v>0</v>
      </c>
      <c r="L290" s="20">
        <f>F290*K290</f>
        <v>0</v>
      </c>
      <c r="M290" s="32" t="s">
        <v>1040</v>
      </c>
      <c r="P290" s="36">
        <f>IF(AG290="5",J290,0)</f>
        <v>0</v>
      </c>
      <c r="R290" s="36">
        <f>IF(AG290="1",H290,0)</f>
        <v>0</v>
      </c>
      <c r="S290" s="36">
        <f>IF(AG290="1",I290,0)</f>
        <v>0</v>
      </c>
      <c r="T290" s="36">
        <f>IF(AG290="7",H290,0)</f>
        <v>0</v>
      </c>
      <c r="U290" s="36">
        <f>IF(AG290="7",I290,0)</f>
        <v>0</v>
      </c>
      <c r="V290" s="36">
        <f>IF(AG290="2",H290,0)</f>
        <v>0</v>
      </c>
      <c r="W290" s="36">
        <f>IF(AG290="2",I290,0)</f>
        <v>0</v>
      </c>
      <c r="X290" s="36">
        <f>IF(AG290="0",J290,0)</f>
        <v>0</v>
      </c>
      <c r="Y290" s="29"/>
      <c r="Z290" s="20">
        <f>IF(AD290=0,J290,0)</f>
        <v>0</v>
      </c>
      <c r="AA290" s="20">
        <f>IF(AD290=15,J290,0)</f>
        <v>0</v>
      </c>
      <c r="AB290" s="20">
        <f>IF(AD290=21,J290,0)</f>
        <v>0</v>
      </c>
      <c r="AD290" s="36">
        <v>21</v>
      </c>
      <c r="AE290" s="36">
        <f>G290*0</f>
        <v>0</v>
      </c>
      <c r="AF290" s="36">
        <f>G290*(1-0)</f>
        <v>0</v>
      </c>
      <c r="AG290" s="32" t="s">
        <v>11</v>
      </c>
      <c r="AM290" s="36">
        <f>F290*AE290</f>
        <v>0</v>
      </c>
      <c r="AN290" s="36">
        <f>F290*AF290</f>
        <v>0</v>
      </c>
      <c r="AO290" s="37" t="s">
        <v>1074</v>
      </c>
      <c r="AP290" s="37" t="s">
        <v>1097</v>
      </c>
      <c r="AQ290" s="29" t="s">
        <v>1101</v>
      </c>
      <c r="AS290" s="36">
        <f>AM290+AN290</f>
        <v>0</v>
      </c>
      <c r="AT290" s="36">
        <f>G290/(100-AU290)*100</f>
        <v>0</v>
      </c>
      <c r="AU290" s="36">
        <v>0</v>
      </c>
      <c r="AV290" s="36">
        <f>L290</f>
        <v>0</v>
      </c>
    </row>
    <row r="291" spans="1:37" ht="12.75">
      <c r="A291" s="5"/>
      <c r="B291" s="13"/>
      <c r="C291" s="13" t="s">
        <v>380</v>
      </c>
      <c r="D291" s="93" t="s">
        <v>790</v>
      </c>
      <c r="E291" s="94"/>
      <c r="F291" s="94"/>
      <c r="G291" s="94"/>
      <c r="H291" s="39">
        <f>SUM(H292:H317)</f>
        <v>0</v>
      </c>
      <c r="I291" s="39">
        <f>SUM(I292:I317)</f>
        <v>0</v>
      </c>
      <c r="J291" s="39">
        <f>H291+I291</f>
        <v>0</v>
      </c>
      <c r="K291" s="29"/>
      <c r="L291" s="39">
        <f>SUM(L292:L317)</f>
        <v>0.07274920000000001</v>
      </c>
      <c r="M291" s="29"/>
      <c r="Y291" s="29"/>
      <c r="AI291" s="39">
        <f>SUM(Z292:Z317)</f>
        <v>0</v>
      </c>
      <c r="AJ291" s="39">
        <f>SUM(AA292:AA317)</f>
        <v>0</v>
      </c>
      <c r="AK291" s="39">
        <f>SUM(AB292:AB317)</f>
        <v>0</v>
      </c>
    </row>
    <row r="292" spans="1:48" ht="12.75">
      <c r="A292" s="4" t="s">
        <v>129</v>
      </c>
      <c r="B292" s="4"/>
      <c r="C292" s="4" t="s">
        <v>381</v>
      </c>
      <c r="D292" s="4" t="s">
        <v>791</v>
      </c>
      <c r="E292" s="4" t="s">
        <v>1019</v>
      </c>
      <c r="F292" s="20">
        <v>35.09</v>
      </c>
      <c r="G292" s="20">
        <v>0</v>
      </c>
      <c r="H292" s="20">
        <f>F292*AE292</f>
        <v>0</v>
      </c>
      <c r="I292" s="20">
        <f>J292-H292</f>
        <v>0</v>
      </c>
      <c r="J292" s="20">
        <f>F292*G292</f>
        <v>0</v>
      </c>
      <c r="K292" s="20">
        <v>0.00054</v>
      </c>
      <c r="L292" s="20">
        <f>F292*K292</f>
        <v>0.018948600000000003</v>
      </c>
      <c r="M292" s="32" t="s">
        <v>1040</v>
      </c>
      <c r="P292" s="36">
        <f>IF(AG292="5",J292,0)</f>
        <v>0</v>
      </c>
      <c r="R292" s="36">
        <f>IF(AG292="1",H292,0)</f>
        <v>0</v>
      </c>
      <c r="S292" s="36">
        <f>IF(AG292="1",I292,0)</f>
        <v>0</v>
      </c>
      <c r="T292" s="36">
        <f>IF(AG292="7",H292,0)</f>
        <v>0</v>
      </c>
      <c r="U292" s="36">
        <f>IF(AG292="7",I292,0)</f>
        <v>0</v>
      </c>
      <c r="V292" s="36">
        <f>IF(AG292="2",H292,0)</f>
        <v>0</v>
      </c>
      <c r="W292" s="36">
        <f>IF(AG292="2",I292,0)</f>
        <v>0</v>
      </c>
      <c r="X292" s="36">
        <f>IF(AG292="0",J292,0)</f>
        <v>0</v>
      </c>
      <c r="Y292" s="29"/>
      <c r="Z292" s="20">
        <f>IF(AD292=0,J292,0)</f>
        <v>0</v>
      </c>
      <c r="AA292" s="20">
        <f>IF(AD292=15,J292,0)</f>
        <v>0</v>
      </c>
      <c r="AB292" s="20">
        <f>IF(AD292=21,J292,0)</f>
        <v>0</v>
      </c>
      <c r="AD292" s="36">
        <v>21</v>
      </c>
      <c r="AE292" s="36">
        <f>G292*0.815562770562771</f>
        <v>0</v>
      </c>
      <c r="AF292" s="36">
        <f>G292*(1-0.815562770562771)</f>
        <v>0</v>
      </c>
      <c r="AG292" s="32" t="s">
        <v>13</v>
      </c>
      <c r="AM292" s="36">
        <f>F292*AE292</f>
        <v>0</v>
      </c>
      <c r="AN292" s="36">
        <f>F292*AF292</f>
        <v>0</v>
      </c>
      <c r="AO292" s="37" t="s">
        <v>1075</v>
      </c>
      <c r="AP292" s="37" t="s">
        <v>1097</v>
      </c>
      <c r="AQ292" s="29" t="s">
        <v>1101</v>
      </c>
      <c r="AS292" s="36">
        <f>AM292+AN292</f>
        <v>0</v>
      </c>
      <c r="AT292" s="36">
        <f>G292/(100-AU292)*100</f>
        <v>0</v>
      </c>
      <c r="AU292" s="36">
        <v>0</v>
      </c>
      <c r="AV292" s="36">
        <f>L292</f>
        <v>0.018948600000000003</v>
      </c>
    </row>
    <row r="293" spans="4:6" ht="12.75">
      <c r="D293" s="17" t="s">
        <v>792</v>
      </c>
      <c r="F293" s="21">
        <v>35.09</v>
      </c>
    </row>
    <row r="294" spans="1:48" ht="12.75">
      <c r="A294" s="4" t="s">
        <v>130</v>
      </c>
      <c r="B294" s="4"/>
      <c r="C294" s="4" t="s">
        <v>382</v>
      </c>
      <c r="D294" s="4" t="s">
        <v>793</v>
      </c>
      <c r="E294" s="4" t="s">
        <v>1019</v>
      </c>
      <c r="F294" s="20">
        <v>21.17</v>
      </c>
      <c r="G294" s="20">
        <v>0</v>
      </c>
      <c r="H294" s="20">
        <f>F294*AE294</f>
        <v>0</v>
      </c>
      <c r="I294" s="20">
        <f>J294-H294</f>
        <v>0</v>
      </c>
      <c r="J294" s="20">
        <f>F294*G294</f>
        <v>0</v>
      </c>
      <c r="K294" s="20">
        <v>0.00045</v>
      </c>
      <c r="L294" s="20">
        <f>F294*K294</f>
        <v>0.0095265</v>
      </c>
      <c r="M294" s="32" t="s">
        <v>1040</v>
      </c>
      <c r="P294" s="36">
        <f>IF(AG294="5",J294,0)</f>
        <v>0</v>
      </c>
      <c r="R294" s="36">
        <f>IF(AG294="1",H294,0)</f>
        <v>0</v>
      </c>
      <c r="S294" s="36">
        <f>IF(AG294="1",I294,0)</f>
        <v>0</v>
      </c>
      <c r="T294" s="36">
        <f>IF(AG294="7",H294,0)</f>
        <v>0</v>
      </c>
      <c r="U294" s="36">
        <f>IF(AG294="7",I294,0)</f>
        <v>0</v>
      </c>
      <c r="V294" s="36">
        <f>IF(AG294="2",H294,0)</f>
        <v>0</v>
      </c>
      <c r="W294" s="36">
        <f>IF(AG294="2",I294,0)</f>
        <v>0</v>
      </c>
      <c r="X294" s="36">
        <f>IF(AG294="0",J294,0)</f>
        <v>0</v>
      </c>
      <c r="Y294" s="29"/>
      <c r="Z294" s="20">
        <f>IF(AD294=0,J294,0)</f>
        <v>0</v>
      </c>
      <c r="AA294" s="20">
        <f>IF(AD294=15,J294,0)</f>
        <v>0</v>
      </c>
      <c r="AB294" s="20">
        <f>IF(AD294=21,J294,0)</f>
        <v>0</v>
      </c>
      <c r="AD294" s="36">
        <v>21</v>
      </c>
      <c r="AE294" s="36">
        <f>G294*0.700877702682039</f>
        <v>0</v>
      </c>
      <c r="AF294" s="36">
        <f>G294*(1-0.700877702682039)</f>
        <v>0</v>
      </c>
      <c r="AG294" s="32" t="s">
        <v>13</v>
      </c>
      <c r="AM294" s="36">
        <f>F294*AE294</f>
        <v>0</v>
      </c>
      <c r="AN294" s="36">
        <f>F294*AF294</f>
        <v>0</v>
      </c>
      <c r="AO294" s="37" t="s">
        <v>1075</v>
      </c>
      <c r="AP294" s="37" t="s">
        <v>1097</v>
      </c>
      <c r="AQ294" s="29" t="s">
        <v>1101</v>
      </c>
      <c r="AS294" s="36">
        <f>AM294+AN294</f>
        <v>0</v>
      </c>
      <c r="AT294" s="36">
        <f>G294/(100-AU294)*100</f>
        <v>0</v>
      </c>
      <c r="AU294" s="36">
        <v>0</v>
      </c>
      <c r="AV294" s="36">
        <f>L294</f>
        <v>0.0095265</v>
      </c>
    </row>
    <row r="295" spans="4:6" ht="12.75">
      <c r="D295" s="17" t="s">
        <v>794</v>
      </c>
      <c r="F295" s="21">
        <v>21.17</v>
      </c>
    </row>
    <row r="296" spans="1:48" ht="12.75">
      <c r="A296" s="4" t="s">
        <v>131</v>
      </c>
      <c r="B296" s="4"/>
      <c r="C296" s="4" t="s">
        <v>383</v>
      </c>
      <c r="D296" s="4" t="s">
        <v>795</v>
      </c>
      <c r="E296" s="4" t="s">
        <v>1019</v>
      </c>
      <c r="F296" s="20">
        <v>9.1</v>
      </c>
      <c r="G296" s="20">
        <v>0</v>
      </c>
      <c r="H296" s="20">
        <f>F296*AE296</f>
        <v>0</v>
      </c>
      <c r="I296" s="20">
        <f>J296-H296</f>
        <v>0</v>
      </c>
      <c r="J296" s="20">
        <f>F296*G296</f>
        <v>0</v>
      </c>
      <c r="K296" s="20">
        <v>0.00059</v>
      </c>
      <c r="L296" s="20">
        <f>F296*K296</f>
        <v>0.005369</v>
      </c>
      <c r="M296" s="32" t="s">
        <v>1040</v>
      </c>
      <c r="P296" s="36">
        <f>IF(AG296="5",J296,0)</f>
        <v>0</v>
      </c>
      <c r="R296" s="36">
        <f>IF(AG296="1",H296,0)</f>
        <v>0</v>
      </c>
      <c r="S296" s="36">
        <f>IF(AG296="1",I296,0)</f>
        <v>0</v>
      </c>
      <c r="T296" s="36">
        <f>IF(AG296="7",H296,0)</f>
        <v>0</v>
      </c>
      <c r="U296" s="36">
        <f>IF(AG296="7",I296,0)</f>
        <v>0</v>
      </c>
      <c r="V296" s="36">
        <f>IF(AG296="2",H296,0)</f>
        <v>0</v>
      </c>
      <c r="W296" s="36">
        <f>IF(AG296="2",I296,0)</f>
        <v>0</v>
      </c>
      <c r="X296" s="36">
        <f>IF(AG296="0",J296,0)</f>
        <v>0</v>
      </c>
      <c r="Y296" s="29"/>
      <c r="Z296" s="20">
        <f>IF(AD296=0,J296,0)</f>
        <v>0</v>
      </c>
      <c r="AA296" s="20">
        <f>IF(AD296=15,J296,0)</f>
        <v>0</v>
      </c>
      <c r="AB296" s="20">
        <f>IF(AD296=21,J296,0)</f>
        <v>0</v>
      </c>
      <c r="AD296" s="36">
        <v>21</v>
      </c>
      <c r="AE296" s="36">
        <f>G296*0.752698161151944</f>
        <v>0</v>
      </c>
      <c r="AF296" s="36">
        <f>G296*(1-0.752698161151944)</f>
        <v>0</v>
      </c>
      <c r="AG296" s="32" t="s">
        <v>13</v>
      </c>
      <c r="AM296" s="36">
        <f>F296*AE296</f>
        <v>0</v>
      </c>
      <c r="AN296" s="36">
        <f>F296*AF296</f>
        <v>0</v>
      </c>
      <c r="AO296" s="37" t="s">
        <v>1075</v>
      </c>
      <c r="AP296" s="37" t="s">
        <v>1097</v>
      </c>
      <c r="AQ296" s="29" t="s">
        <v>1101</v>
      </c>
      <c r="AS296" s="36">
        <f>AM296+AN296</f>
        <v>0</v>
      </c>
      <c r="AT296" s="36">
        <f>G296/(100-AU296)*100</f>
        <v>0</v>
      </c>
      <c r="AU296" s="36">
        <v>0</v>
      </c>
      <c r="AV296" s="36">
        <f>L296</f>
        <v>0.005369</v>
      </c>
    </row>
    <row r="297" spans="1:48" ht="12.75">
      <c r="A297" s="4" t="s">
        <v>132</v>
      </c>
      <c r="B297" s="4"/>
      <c r="C297" s="4" t="s">
        <v>384</v>
      </c>
      <c r="D297" s="4" t="s">
        <v>796</v>
      </c>
      <c r="E297" s="4" t="s">
        <v>1019</v>
      </c>
      <c r="F297" s="20">
        <v>9.35</v>
      </c>
      <c r="G297" s="20">
        <v>0</v>
      </c>
      <c r="H297" s="20">
        <f>F297*AE297</f>
        <v>0</v>
      </c>
      <c r="I297" s="20">
        <f>J297-H297</f>
        <v>0</v>
      </c>
      <c r="J297" s="20">
        <f>F297*G297</f>
        <v>0</v>
      </c>
      <c r="K297" s="20">
        <v>0.00072</v>
      </c>
      <c r="L297" s="20">
        <f>F297*K297</f>
        <v>0.006732</v>
      </c>
      <c r="M297" s="32" t="s">
        <v>1040</v>
      </c>
      <c r="P297" s="36">
        <f>IF(AG297="5",J297,0)</f>
        <v>0</v>
      </c>
      <c r="R297" s="36">
        <f>IF(AG297="1",H297,0)</f>
        <v>0</v>
      </c>
      <c r="S297" s="36">
        <f>IF(AG297="1",I297,0)</f>
        <v>0</v>
      </c>
      <c r="T297" s="36">
        <f>IF(AG297="7",H297,0)</f>
        <v>0</v>
      </c>
      <c r="U297" s="36">
        <f>IF(AG297="7",I297,0)</f>
        <v>0</v>
      </c>
      <c r="V297" s="36">
        <f>IF(AG297="2",H297,0)</f>
        <v>0</v>
      </c>
      <c r="W297" s="36">
        <f>IF(AG297="2",I297,0)</f>
        <v>0</v>
      </c>
      <c r="X297" s="36">
        <f>IF(AG297="0",J297,0)</f>
        <v>0</v>
      </c>
      <c r="Y297" s="29"/>
      <c r="Z297" s="20">
        <f>IF(AD297=0,J297,0)</f>
        <v>0</v>
      </c>
      <c r="AA297" s="20">
        <f>IF(AD297=15,J297,0)</f>
        <v>0</v>
      </c>
      <c r="AB297" s="20">
        <f>IF(AD297=21,J297,0)</f>
        <v>0</v>
      </c>
      <c r="AD297" s="36">
        <v>21</v>
      </c>
      <c r="AE297" s="36">
        <f>G297*0.800769230769231</f>
        <v>0</v>
      </c>
      <c r="AF297" s="36">
        <f>G297*(1-0.800769230769231)</f>
        <v>0</v>
      </c>
      <c r="AG297" s="32" t="s">
        <v>13</v>
      </c>
      <c r="AM297" s="36">
        <f>F297*AE297</f>
        <v>0</v>
      </c>
      <c r="AN297" s="36">
        <f>F297*AF297</f>
        <v>0</v>
      </c>
      <c r="AO297" s="37" t="s">
        <v>1075</v>
      </c>
      <c r="AP297" s="37" t="s">
        <v>1097</v>
      </c>
      <c r="AQ297" s="29" t="s">
        <v>1101</v>
      </c>
      <c r="AS297" s="36">
        <f>AM297+AN297</f>
        <v>0</v>
      </c>
      <c r="AT297" s="36">
        <f>G297/(100-AU297)*100</f>
        <v>0</v>
      </c>
      <c r="AU297" s="36">
        <v>0</v>
      </c>
      <c r="AV297" s="36">
        <f>L297</f>
        <v>0.006732</v>
      </c>
    </row>
    <row r="298" spans="1:48" ht="12.75">
      <c r="A298" s="4" t="s">
        <v>133</v>
      </c>
      <c r="B298" s="4"/>
      <c r="C298" s="4" t="s">
        <v>385</v>
      </c>
      <c r="D298" s="4" t="s">
        <v>797</v>
      </c>
      <c r="E298" s="4" t="s">
        <v>1019</v>
      </c>
      <c r="F298" s="20">
        <v>74.71</v>
      </c>
      <c r="G298" s="20">
        <v>0</v>
      </c>
      <c r="H298" s="20">
        <f>F298*AE298</f>
        <v>0</v>
      </c>
      <c r="I298" s="20">
        <f>J298-H298</f>
        <v>0</v>
      </c>
      <c r="J298" s="20">
        <f>F298*G298</f>
        <v>0</v>
      </c>
      <c r="K298" s="20">
        <v>0</v>
      </c>
      <c r="L298" s="20">
        <f>F298*K298</f>
        <v>0</v>
      </c>
      <c r="M298" s="32" t="s">
        <v>1040</v>
      </c>
      <c r="P298" s="36">
        <f>IF(AG298="5",J298,0)</f>
        <v>0</v>
      </c>
      <c r="R298" s="36">
        <f>IF(AG298="1",H298,0)</f>
        <v>0</v>
      </c>
      <c r="S298" s="36">
        <f>IF(AG298="1",I298,0)</f>
        <v>0</v>
      </c>
      <c r="T298" s="36">
        <f>IF(AG298="7",H298,0)</f>
        <v>0</v>
      </c>
      <c r="U298" s="36">
        <f>IF(AG298="7",I298,0)</f>
        <v>0</v>
      </c>
      <c r="V298" s="36">
        <f>IF(AG298="2",H298,0)</f>
        <v>0</v>
      </c>
      <c r="W298" s="36">
        <f>IF(AG298="2",I298,0)</f>
        <v>0</v>
      </c>
      <c r="X298" s="36">
        <f>IF(AG298="0",J298,0)</f>
        <v>0</v>
      </c>
      <c r="Y298" s="29"/>
      <c r="Z298" s="20">
        <f>IF(AD298=0,J298,0)</f>
        <v>0</v>
      </c>
      <c r="AA298" s="20">
        <f>IF(AD298=15,J298,0)</f>
        <v>0</v>
      </c>
      <c r="AB298" s="20">
        <f>IF(AD298=21,J298,0)</f>
        <v>0</v>
      </c>
      <c r="AD298" s="36">
        <v>21</v>
      </c>
      <c r="AE298" s="36">
        <f>G298*0.0169811320754717</f>
        <v>0</v>
      </c>
      <c r="AF298" s="36">
        <f>G298*(1-0.0169811320754717)</f>
        <v>0</v>
      </c>
      <c r="AG298" s="32" t="s">
        <v>13</v>
      </c>
      <c r="AM298" s="36">
        <f>F298*AE298</f>
        <v>0</v>
      </c>
      <c r="AN298" s="36">
        <f>F298*AF298</f>
        <v>0</v>
      </c>
      <c r="AO298" s="37" t="s">
        <v>1075</v>
      </c>
      <c r="AP298" s="37" t="s">
        <v>1097</v>
      </c>
      <c r="AQ298" s="29" t="s">
        <v>1101</v>
      </c>
      <c r="AS298" s="36">
        <f>AM298+AN298</f>
        <v>0</v>
      </c>
      <c r="AT298" s="36">
        <f>G298/(100-AU298)*100</f>
        <v>0</v>
      </c>
      <c r="AU298" s="36">
        <v>0</v>
      </c>
      <c r="AV298" s="36">
        <f>L298</f>
        <v>0</v>
      </c>
    </row>
    <row r="299" spans="4:6" ht="12.75">
      <c r="D299" s="17" t="s">
        <v>798</v>
      </c>
      <c r="F299" s="21">
        <v>74.71</v>
      </c>
    </row>
    <row r="300" spans="1:48" ht="12.75">
      <c r="A300" s="4" t="s">
        <v>134</v>
      </c>
      <c r="B300" s="4"/>
      <c r="C300" s="4" t="s">
        <v>386</v>
      </c>
      <c r="D300" s="4" t="s">
        <v>799</v>
      </c>
      <c r="E300" s="4" t="s">
        <v>1019</v>
      </c>
      <c r="F300" s="20">
        <v>74.71</v>
      </c>
      <c r="G300" s="20">
        <v>0</v>
      </c>
      <c r="H300" s="20">
        <f>F300*AE300</f>
        <v>0</v>
      </c>
      <c r="I300" s="20">
        <f>J300-H300</f>
        <v>0</v>
      </c>
      <c r="J300" s="20">
        <f>F300*G300</f>
        <v>0</v>
      </c>
      <c r="K300" s="20">
        <v>1E-05</v>
      </c>
      <c r="L300" s="20">
        <f>F300*K300</f>
        <v>0.0007471</v>
      </c>
      <c r="M300" s="32" t="s">
        <v>1040</v>
      </c>
      <c r="P300" s="36">
        <f>IF(AG300="5",J300,0)</f>
        <v>0</v>
      </c>
      <c r="R300" s="36">
        <f>IF(AG300="1",H300,0)</f>
        <v>0</v>
      </c>
      <c r="S300" s="36">
        <f>IF(AG300="1",I300,0)</f>
        <v>0</v>
      </c>
      <c r="T300" s="36">
        <f>IF(AG300="7",H300,0)</f>
        <v>0</v>
      </c>
      <c r="U300" s="36">
        <f>IF(AG300="7",I300,0)</f>
        <v>0</v>
      </c>
      <c r="V300" s="36">
        <f>IF(AG300="2",H300,0)</f>
        <v>0</v>
      </c>
      <c r="W300" s="36">
        <f>IF(AG300="2",I300,0)</f>
        <v>0</v>
      </c>
      <c r="X300" s="36">
        <f>IF(AG300="0",J300,0)</f>
        <v>0</v>
      </c>
      <c r="Y300" s="29"/>
      <c r="Z300" s="20">
        <f>IF(AD300=0,J300,0)</f>
        <v>0</v>
      </c>
      <c r="AA300" s="20">
        <f>IF(AD300=15,J300,0)</f>
        <v>0</v>
      </c>
      <c r="AB300" s="20">
        <f>IF(AD300=21,J300,0)</f>
        <v>0</v>
      </c>
      <c r="AD300" s="36">
        <v>21</v>
      </c>
      <c r="AE300" s="36">
        <f>G300*0.0609499789827659</f>
        <v>0</v>
      </c>
      <c r="AF300" s="36">
        <f>G300*(1-0.0609499789827659)</f>
        <v>0</v>
      </c>
      <c r="AG300" s="32" t="s">
        <v>13</v>
      </c>
      <c r="AM300" s="36">
        <f>F300*AE300</f>
        <v>0</v>
      </c>
      <c r="AN300" s="36">
        <f>F300*AF300</f>
        <v>0</v>
      </c>
      <c r="AO300" s="37" t="s">
        <v>1075</v>
      </c>
      <c r="AP300" s="37" t="s">
        <v>1097</v>
      </c>
      <c r="AQ300" s="29" t="s">
        <v>1101</v>
      </c>
      <c r="AS300" s="36">
        <f>AM300+AN300</f>
        <v>0</v>
      </c>
      <c r="AT300" s="36">
        <f>G300/(100-AU300)*100</f>
        <v>0</v>
      </c>
      <c r="AU300" s="36">
        <v>0</v>
      </c>
      <c r="AV300" s="36">
        <f>L300</f>
        <v>0.0007471</v>
      </c>
    </row>
    <row r="301" spans="1:48" ht="12.75">
      <c r="A301" s="4" t="s">
        <v>135</v>
      </c>
      <c r="B301" s="4"/>
      <c r="C301" s="4" t="s">
        <v>387</v>
      </c>
      <c r="D301" s="4" t="s">
        <v>779</v>
      </c>
      <c r="E301" s="4" t="s">
        <v>1022</v>
      </c>
      <c r="F301" s="20">
        <v>1</v>
      </c>
      <c r="G301" s="20">
        <v>0</v>
      </c>
      <c r="H301" s="20">
        <f>F301*AE301</f>
        <v>0</v>
      </c>
      <c r="I301" s="20">
        <f>J301-H301</f>
        <v>0</v>
      </c>
      <c r="J301" s="20">
        <f>F301*G301</f>
        <v>0</v>
      </c>
      <c r="K301" s="20">
        <v>0</v>
      </c>
      <c r="L301" s="20">
        <f>F301*K301</f>
        <v>0</v>
      </c>
      <c r="M301" s="32"/>
      <c r="P301" s="36">
        <f>IF(AG301="5",J301,0)</f>
        <v>0</v>
      </c>
      <c r="R301" s="36">
        <f>IF(AG301="1",H301,0)</f>
        <v>0</v>
      </c>
      <c r="S301" s="36">
        <f>IF(AG301="1",I301,0)</f>
        <v>0</v>
      </c>
      <c r="T301" s="36">
        <f>IF(AG301="7",H301,0)</f>
        <v>0</v>
      </c>
      <c r="U301" s="36">
        <f>IF(AG301="7",I301,0)</f>
        <v>0</v>
      </c>
      <c r="V301" s="36">
        <f>IF(AG301="2",H301,0)</f>
        <v>0</v>
      </c>
      <c r="W301" s="36">
        <f>IF(AG301="2",I301,0)</f>
        <v>0</v>
      </c>
      <c r="X301" s="36">
        <f>IF(AG301="0",J301,0)</f>
        <v>0</v>
      </c>
      <c r="Y301" s="29"/>
      <c r="Z301" s="20">
        <f>IF(AD301=0,J301,0)</f>
        <v>0</v>
      </c>
      <c r="AA301" s="20">
        <f>IF(AD301=15,J301,0)</f>
        <v>0</v>
      </c>
      <c r="AB301" s="20">
        <f>IF(AD301=21,J301,0)</f>
        <v>0</v>
      </c>
      <c r="AD301" s="36">
        <v>21</v>
      </c>
      <c r="AE301" s="36">
        <f>G301*1</f>
        <v>0</v>
      </c>
      <c r="AF301" s="36">
        <f>G301*(1-1)</f>
        <v>0</v>
      </c>
      <c r="AG301" s="32" t="s">
        <v>13</v>
      </c>
      <c r="AM301" s="36">
        <f>F301*AE301</f>
        <v>0</v>
      </c>
      <c r="AN301" s="36">
        <f>F301*AF301</f>
        <v>0</v>
      </c>
      <c r="AO301" s="37" t="s">
        <v>1075</v>
      </c>
      <c r="AP301" s="37" t="s">
        <v>1097</v>
      </c>
      <c r="AQ301" s="29" t="s">
        <v>1101</v>
      </c>
      <c r="AS301" s="36">
        <f>AM301+AN301</f>
        <v>0</v>
      </c>
      <c r="AT301" s="36">
        <f>G301/(100-AU301)*100</f>
        <v>0</v>
      </c>
      <c r="AU301" s="36">
        <v>0</v>
      </c>
      <c r="AV301" s="36">
        <f>L301</f>
        <v>0</v>
      </c>
    </row>
    <row r="302" spans="1:48" ht="12.75">
      <c r="A302" s="4" t="s">
        <v>136</v>
      </c>
      <c r="B302" s="4"/>
      <c r="C302" s="4" t="s">
        <v>388</v>
      </c>
      <c r="D302" s="4" t="s">
        <v>800</v>
      </c>
      <c r="E302" s="4" t="s">
        <v>1018</v>
      </c>
      <c r="F302" s="20">
        <v>1</v>
      </c>
      <c r="G302" s="20">
        <v>0</v>
      </c>
      <c r="H302" s="20">
        <f>F302*AE302</f>
        <v>0</v>
      </c>
      <c r="I302" s="20">
        <f>J302-H302</f>
        <v>0</v>
      </c>
      <c r="J302" s="20">
        <f>F302*G302</f>
        <v>0</v>
      </c>
      <c r="K302" s="20">
        <v>0.00102</v>
      </c>
      <c r="L302" s="20">
        <f>F302*K302</f>
        <v>0.00102</v>
      </c>
      <c r="M302" s="32" t="s">
        <v>1040</v>
      </c>
      <c r="P302" s="36">
        <f>IF(AG302="5",J302,0)</f>
        <v>0</v>
      </c>
      <c r="R302" s="36">
        <f>IF(AG302="1",H302,0)</f>
        <v>0</v>
      </c>
      <c r="S302" s="36">
        <f>IF(AG302="1",I302,0)</f>
        <v>0</v>
      </c>
      <c r="T302" s="36">
        <f>IF(AG302="7",H302,0)</f>
        <v>0</v>
      </c>
      <c r="U302" s="36">
        <f>IF(AG302="7",I302,0)</f>
        <v>0</v>
      </c>
      <c r="V302" s="36">
        <f>IF(AG302="2",H302,0)</f>
        <v>0</v>
      </c>
      <c r="W302" s="36">
        <f>IF(AG302="2",I302,0)</f>
        <v>0</v>
      </c>
      <c r="X302" s="36">
        <f>IF(AG302="0",J302,0)</f>
        <v>0</v>
      </c>
      <c r="Y302" s="29"/>
      <c r="Z302" s="20">
        <f>IF(AD302=0,J302,0)</f>
        <v>0</v>
      </c>
      <c r="AA302" s="20">
        <f>IF(AD302=15,J302,0)</f>
        <v>0</v>
      </c>
      <c r="AB302" s="20">
        <f>IF(AD302=21,J302,0)</f>
        <v>0</v>
      </c>
      <c r="AD302" s="36">
        <v>21</v>
      </c>
      <c r="AE302" s="36">
        <f>G302*0.858729719092115</f>
        <v>0</v>
      </c>
      <c r="AF302" s="36">
        <f>G302*(1-0.858729719092115)</f>
        <v>0</v>
      </c>
      <c r="AG302" s="32" t="s">
        <v>13</v>
      </c>
      <c r="AM302" s="36">
        <f>F302*AE302</f>
        <v>0</v>
      </c>
      <c r="AN302" s="36">
        <f>F302*AF302</f>
        <v>0</v>
      </c>
      <c r="AO302" s="37" t="s">
        <v>1075</v>
      </c>
      <c r="AP302" s="37" t="s">
        <v>1097</v>
      </c>
      <c r="AQ302" s="29" t="s">
        <v>1101</v>
      </c>
      <c r="AS302" s="36">
        <f>AM302+AN302</f>
        <v>0</v>
      </c>
      <c r="AT302" s="36">
        <f>G302/(100-AU302)*100</f>
        <v>0</v>
      </c>
      <c r="AU302" s="36">
        <v>0</v>
      </c>
      <c r="AV302" s="36">
        <f>L302</f>
        <v>0.00102</v>
      </c>
    </row>
    <row r="303" spans="1:48" ht="12.75">
      <c r="A303" s="4" t="s">
        <v>137</v>
      </c>
      <c r="B303" s="4"/>
      <c r="C303" s="4" t="s">
        <v>389</v>
      </c>
      <c r="D303" s="4" t="s">
        <v>801</v>
      </c>
      <c r="E303" s="4" t="s">
        <v>1019</v>
      </c>
      <c r="F303" s="20">
        <v>16.15</v>
      </c>
      <c r="G303" s="20">
        <v>0</v>
      </c>
      <c r="H303" s="20">
        <f>F303*AE303</f>
        <v>0</v>
      </c>
      <c r="I303" s="20">
        <f>J303-H303</f>
        <v>0</v>
      </c>
      <c r="J303" s="20">
        <f>F303*G303</f>
        <v>0</v>
      </c>
      <c r="K303" s="20">
        <v>1E-05</v>
      </c>
      <c r="L303" s="20">
        <f>F303*K303</f>
        <v>0.0001615</v>
      </c>
      <c r="M303" s="32" t="s">
        <v>1040</v>
      </c>
      <c r="P303" s="36">
        <f>IF(AG303="5",J303,0)</f>
        <v>0</v>
      </c>
      <c r="R303" s="36">
        <f>IF(AG303="1",H303,0)</f>
        <v>0</v>
      </c>
      <c r="S303" s="36">
        <f>IF(AG303="1",I303,0)</f>
        <v>0</v>
      </c>
      <c r="T303" s="36">
        <f>IF(AG303="7",H303,0)</f>
        <v>0</v>
      </c>
      <c r="U303" s="36">
        <f>IF(AG303="7",I303,0)</f>
        <v>0</v>
      </c>
      <c r="V303" s="36">
        <f>IF(AG303="2",H303,0)</f>
        <v>0</v>
      </c>
      <c r="W303" s="36">
        <f>IF(AG303="2",I303,0)</f>
        <v>0</v>
      </c>
      <c r="X303" s="36">
        <f>IF(AG303="0",J303,0)</f>
        <v>0</v>
      </c>
      <c r="Y303" s="29"/>
      <c r="Z303" s="20">
        <f>IF(AD303=0,J303,0)</f>
        <v>0</v>
      </c>
      <c r="AA303" s="20">
        <f>IF(AD303=15,J303,0)</f>
        <v>0</v>
      </c>
      <c r="AB303" s="20">
        <f>IF(AD303=21,J303,0)</f>
        <v>0</v>
      </c>
      <c r="AD303" s="36">
        <v>21</v>
      </c>
      <c r="AE303" s="36">
        <f>G303*0.250606585788562</f>
        <v>0</v>
      </c>
      <c r="AF303" s="36">
        <f>G303*(1-0.250606585788562)</f>
        <v>0</v>
      </c>
      <c r="AG303" s="32" t="s">
        <v>13</v>
      </c>
      <c r="AM303" s="36">
        <f>F303*AE303</f>
        <v>0</v>
      </c>
      <c r="AN303" s="36">
        <f>F303*AF303</f>
        <v>0</v>
      </c>
      <c r="AO303" s="37" t="s">
        <v>1075</v>
      </c>
      <c r="AP303" s="37" t="s">
        <v>1097</v>
      </c>
      <c r="AQ303" s="29" t="s">
        <v>1101</v>
      </c>
      <c r="AS303" s="36">
        <f>AM303+AN303</f>
        <v>0</v>
      </c>
      <c r="AT303" s="36">
        <f>G303/(100-AU303)*100</f>
        <v>0</v>
      </c>
      <c r="AU303" s="36">
        <v>0</v>
      </c>
      <c r="AV303" s="36">
        <f>L303</f>
        <v>0.0001615</v>
      </c>
    </row>
    <row r="304" spans="4:6" ht="12.75">
      <c r="D304" s="17" t="s">
        <v>802</v>
      </c>
      <c r="F304" s="21">
        <v>16.15</v>
      </c>
    </row>
    <row r="305" spans="1:48" ht="12.75">
      <c r="A305" s="4" t="s">
        <v>138</v>
      </c>
      <c r="B305" s="4"/>
      <c r="C305" s="4" t="s">
        <v>390</v>
      </c>
      <c r="D305" s="4" t="s">
        <v>801</v>
      </c>
      <c r="E305" s="4" t="s">
        <v>1019</v>
      </c>
      <c r="F305" s="20">
        <v>8.1</v>
      </c>
      <c r="G305" s="20">
        <v>0</v>
      </c>
      <c r="H305" s="20">
        <f>F305*AE305</f>
        <v>0</v>
      </c>
      <c r="I305" s="20">
        <f>J305-H305</f>
        <v>0</v>
      </c>
      <c r="J305" s="20">
        <f>F305*G305</f>
        <v>0</v>
      </c>
      <c r="K305" s="20">
        <v>2E-05</v>
      </c>
      <c r="L305" s="20">
        <f>F305*K305</f>
        <v>0.000162</v>
      </c>
      <c r="M305" s="32" t="s">
        <v>1040</v>
      </c>
      <c r="P305" s="36">
        <f>IF(AG305="5",J305,0)</f>
        <v>0</v>
      </c>
      <c r="R305" s="36">
        <f>IF(AG305="1",H305,0)</f>
        <v>0</v>
      </c>
      <c r="S305" s="36">
        <f>IF(AG305="1",I305,0)</f>
        <v>0</v>
      </c>
      <c r="T305" s="36">
        <f>IF(AG305="7",H305,0)</f>
        <v>0</v>
      </c>
      <c r="U305" s="36">
        <f>IF(AG305="7",I305,0)</f>
        <v>0</v>
      </c>
      <c r="V305" s="36">
        <f>IF(AG305="2",H305,0)</f>
        <v>0</v>
      </c>
      <c r="W305" s="36">
        <f>IF(AG305="2",I305,0)</f>
        <v>0</v>
      </c>
      <c r="X305" s="36">
        <f>IF(AG305="0",J305,0)</f>
        <v>0</v>
      </c>
      <c r="Y305" s="29"/>
      <c r="Z305" s="20">
        <f>IF(AD305=0,J305,0)</f>
        <v>0</v>
      </c>
      <c r="AA305" s="20">
        <f>IF(AD305=15,J305,0)</f>
        <v>0</v>
      </c>
      <c r="AB305" s="20">
        <f>IF(AD305=21,J305,0)</f>
        <v>0</v>
      </c>
      <c r="AD305" s="36">
        <v>21</v>
      </c>
      <c r="AE305" s="36">
        <f>G305*0.26647717178895</f>
        <v>0</v>
      </c>
      <c r="AF305" s="36">
        <f>G305*(1-0.26647717178895)</f>
        <v>0</v>
      </c>
      <c r="AG305" s="32" t="s">
        <v>13</v>
      </c>
      <c r="AM305" s="36">
        <f>F305*AE305</f>
        <v>0</v>
      </c>
      <c r="AN305" s="36">
        <f>F305*AF305</f>
        <v>0</v>
      </c>
      <c r="AO305" s="37" t="s">
        <v>1075</v>
      </c>
      <c r="AP305" s="37" t="s">
        <v>1097</v>
      </c>
      <c r="AQ305" s="29" t="s">
        <v>1101</v>
      </c>
      <c r="AS305" s="36">
        <f>AM305+AN305</f>
        <v>0</v>
      </c>
      <c r="AT305" s="36">
        <f>G305/(100-AU305)*100</f>
        <v>0</v>
      </c>
      <c r="AU305" s="36">
        <v>0</v>
      </c>
      <c r="AV305" s="36">
        <f>L305</f>
        <v>0.000162</v>
      </c>
    </row>
    <row r="306" spans="4:6" ht="12.75">
      <c r="D306" s="17" t="s">
        <v>803</v>
      </c>
      <c r="F306" s="21">
        <v>8.1</v>
      </c>
    </row>
    <row r="307" spans="1:48" ht="12.75">
      <c r="A307" s="4" t="s">
        <v>139</v>
      </c>
      <c r="B307" s="4"/>
      <c r="C307" s="4" t="s">
        <v>391</v>
      </c>
      <c r="D307" s="4" t="s">
        <v>801</v>
      </c>
      <c r="E307" s="4" t="s">
        <v>1019</v>
      </c>
      <c r="F307" s="20">
        <v>9.1</v>
      </c>
      <c r="G307" s="20">
        <v>0</v>
      </c>
      <c r="H307" s="20">
        <f>F307*AE307</f>
        <v>0</v>
      </c>
      <c r="I307" s="20">
        <f>J307-H307</f>
        <v>0</v>
      </c>
      <c r="J307" s="20">
        <f>F307*G307</f>
        <v>0</v>
      </c>
      <c r="K307" s="20">
        <v>4E-05</v>
      </c>
      <c r="L307" s="20">
        <f>F307*K307</f>
        <v>0.000364</v>
      </c>
      <c r="M307" s="32" t="s">
        <v>1040</v>
      </c>
      <c r="P307" s="36">
        <f>IF(AG307="5",J307,0)</f>
        <v>0</v>
      </c>
      <c r="R307" s="36">
        <f>IF(AG307="1",H307,0)</f>
        <v>0</v>
      </c>
      <c r="S307" s="36">
        <f>IF(AG307="1",I307,0)</f>
        <v>0</v>
      </c>
      <c r="T307" s="36">
        <f>IF(AG307="7",H307,0)</f>
        <v>0</v>
      </c>
      <c r="U307" s="36">
        <f>IF(AG307="7",I307,0)</f>
        <v>0</v>
      </c>
      <c r="V307" s="36">
        <f>IF(AG307="2",H307,0)</f>
        <v>0</v>
      </c>
      <c r="W307" s="36">
        <f>IF(AG307="2",I307,0)</f>
        <v>0</v>
      </c>
      <c r="X307" s="36">
        <f>IF(AG307="0",J307,0)</f>
        <v>0</v>
      </c>
      <c r="Y307" s="29"/>
      <c r="Z307" s="20">
        <f>IF(AD307=0,J307,0)</f>
        <v>0</v>
      </c>
      <c r="AA307" s="20">
        <f>IF(AD307=15,J307,0)</f>
        <v>0</v>
      </c>
      <c r="AB307" s="20">
        <f>IF(AD307=21,J307,0)</f>
        <v>0</v>
      </c>
      <c r="AD307" s="36">
        <v>21</v>
      </c>
      <c r="AE307" s="36">
        <f>G307*0.295961833361731</f>
        <v>0</v>
      </c>
      <c r="AF307" s="36">
        <f>G307*(1-0.295961833361731)</f>
        <v>0</v>
      </c>
      <c r="AG307" s="32" t="s">
        <v>13</v>
      </c>
      <c r="AM307" s="36">
        <f>F307*AE307</f>
        <v>0</v>
      </c>
      <c r="AN307" s="36">
        <f>F307*AF307</f>
        <v>0</v>
      </c>
      <c r="AO307" s="37" t="s">
        <v>1075</v>
      </c>
      <c r="AP307" s="37" t="s">
        <v>1097</v>
      </c>
      <c r="AQ307" s="29" t="s">
        <v>1101</v>
      </c>
      <c r="AS307" s="36">
        <f>AM307+AN307</f>
        <v>0</v>
      </c>
      <c r="AT307" s="36">
        <f>G307/(100-AU307)*100</f>
        <v>0</v>
      </c>
      <c r="AU307" s="36">
        <v>0</v>
      </c>
      <c r="AV307" s="36">
        <f>L307</f>
        <v>0.000364</v>
      </c>
    </row>
    <row r="308" spans="4:6" ht="12.75">
      <c r="D308" s="17" t="s">
        <v>804</v>
      </c>
      <c r="F308" s="21">
        <v>9.1</v>
      </c>
    </row>
    <row r="309" spans="1:48" ht="12.75">
      <c r="A309" s="4" t="s">
        <v>140</v>
      </c>
      <c r="B309" s="4"/>
      <c r="C309" s="4" t="s">
        <v>392</v>
      </c>
      <c r="D309" s="4" t="s">
        <v>801</v>
      </c>
      <c r="E309" s="4" t="s">
        <v>1019</v>
      </c>
      <c r="F309" s="20">
        <v>9.35</v>
      </c>
      <c r="G309" s="20">
        <v>0</v>
      </c>
      <c r="H309" s="20">
        <f>F309*AE309</f>
        <v>0</v>
      </c>
      <c r="I309" s="20">
        <f>J309-H309</f>
        <v>0</v>
      </c>
      <c r="J309" s="20">
        <f>F309*G309</f>
        <v>0</v>
      </c>
      <c r="K309" s="20">
        <v>5E-05</v>
      </c>
      <c r="L309" s="20">
        <f>F309*K309</f>
        <v>0.0004675</v>
      </c>
      <c r="M309" s="32" t="s">
        <v>1040</v>
      </c>
      <c r="P309" s="36">
        <f>IF(AG309="5",J309,0)</f>
        <v>0</v>
      </c>
      <c r="R309" s="36">
        <f>IF(AG309="1",H309,0)</f>
        <v>0</v>
      </c>
      <c r="S309" s="36">
        <f>IF(AG309="1",I309,0)</f>
        <v>0</v>
      </c>
      <c r="T309" s="36">
        <f>IF(AG309="7",H309,0)</f>
        <v>0</v>
      </c>
      <c r="U309" s="36">
        <f>IF(AG309="7",I309,0)</f>
        <v>0</v>
      </c>
      <c r="V309" s="36">
        <f>IF(AG309="2",H309,0)</f>
        <v>0</v>
      </c>
      <c r="W309" s="36">
        <f>IF(AG309="2",I309,0)</f>
        <v>0</v>
      </c>
      <c r="X309" s="36">
        <f>IF(AG309="0",J309,0)</f>
        <v>0</v>
      </c>
      <c r="Y309" s="29"/>
      <c r="Z309" s="20">
        <f>IF(AD309=0,J309,0)</f>
        <v>0</v>
      </c>
      <c r="AA309" s="20">
        <f>IF(AD309=15,J309,0)</f>
        <v>0</v>
      </c>
      <c r="AB309" s="20">
        <f>IF(AD309=21,J309,0)</f>
        <v>0</v>
      </c>
      <c r="AD309" s="36">
        <v>21</v>
      </c>
      <c r="AE309" s="36">
        <f>G309*0.308371385083714</f>
        <v>0</v>
      </c>
      <c r="AF309" s="36">
        <f>G309*(1-0.308371385083714)</f>
        <v>0</v>
      </c>
      <c r="AG309" s="32" t="s">
        <v>13</v>
      </c>
      <c r="AM309" s="36">
        <f>F309*AE309</f>
        <v>0</v>
      </c>
      <c r="AN309" s="36">
        <f>F309*AF309</f>
        <v>0</v>
      </c>
      <c r="AO309" s="37" t="s">
        <v>1075</v>
      </c>
      <c r="AP309" s="37" t="s">
        <v>1097</v>
      </c>
      <c r="AQ309" s="29" t="s">
        <v>1101</v>
      </c>
      <c r="AS309" s="36">
        <f>AM309+AN309</f>
        <v>0</v>
      </c>
      <c r="AT309" s="36">
        <f>G309/(100-AU309)*100</f>
        <v>0</v>
      </c>
      <c r="AU309" s="36">
        <v>0</v>
      </c>
      <c r="AV309" s="36">
        <f>L309</f>
        <v>0.0004675</v>
      </c>
    </row>
    <row r="310" spans="4:6" ht="12.75">
      <c r="D310" s="17" t="s">
        <v>805</v>
      </c>
      <c r="F310" s="21">
        <v>9.35</v>
      </c>
    </row>
    <row r="311" spans="1:48" ht="12.75">
      <c r="A311" s="4" t="s">
        <v>141</v>
      </c>
      <c r="B311" s="4"/>
      <c r="C311" s="4" t="s">
        <v>393</v>
      </c>
      <c r="D311" s="4" t="s">
        <v>806</v>
      </c>
      <c r="E311" s="4" t="s">
        <v>1019</v>
      </c>
      <c r="F311" s="20">
        <v>18.94</v>
      </c>
      <c r="G311" s="20">
        <v>0</v>
      </c>
      <c r="H311" s="20">
        <f>F311*AE311</f>
        <v>0</v>
      </c>
      <c r="I311" s="20">
        <f>J311-H311</f>
        <v>0</v>
      </c>
      <c r="J311" s="20">
        <f>F311*G311</f>
        <v>0</v>
      </c>
      <c r="K311" s="20">
        <v>3E-05</v>
      </c>
      <c r="L311" s="20">
        <f>F311*K311</f>
        <v>0.0005682</v>
      </c>
      <c r="M311" s="32" t="s">
        <v>1040</v>
      </c>
      <c r="P311" s="36">
        <f>IF(AG311="5",J311,0)</f>
        <v>0</v>
      </c>
      <c r="R311" s="36">
        <f>IF(AG311="1",H311,0)</f>
        <v>0</v>
      </c>
      <c r="S311" s="36">
        <f>IF(AG311="1",I311,0)</f>
        <v>0</v>
      </c>
      <c r="T311" s="36">
        <f>IF(AG311="7",H311,0)</f>
        <v>0</v>
      </c>
      <c r="U311" s="36">
        <f>IF(AG311="7",I311,0)</f>
        <v>0</v>
      </c>
      <c r="V311" s="36">
        <f>IF(AG311="2",H311,0)</f>
        <v>0</v>
      </c>
      <c r="W311" s="36">
        <f>IF(AG311="2",I311,0)</f>
        <v>0</v>
      </c>
      <c r="X311" s="36">
        <f>IF(AG311="0",J311,0)</f>
        <v>0</v>
      </c>
      <c r="Y311" s="29"/>
      <c r="Z311" s="20">
        <f>IF(AD311=0,J311,0)</f>
        <v>0</v>
      </c>
      <c r="AA311" s="20">
        <f>IF(AD311=15,J311,0)</f>
        <v>0</v>
      </c>
      <c r="AB311" s="20">
        <f>IF(AD311=21,J311,0)</f>
        <v>0</v>
      </c>
      <c r="AD311" s="36">
        <v>21</v>
      </c>
      <c r="AE311" s="36">
        <f>G311*0.377377521613833</f>
        <v>0</v>
      </c>
      <c r="AF311" s="36">
        <f>G311*(1-0.377377521613833)</f>
        <v>0</v>
      </c>
      <c r="AG311" s="32" t="s">
        <v>13</v>
      </c>
      <c r="AM311" s="36">
        <f>F311*AE311</f>
        <v>0</v>
      </c>
      <c r="AN311" s="36">
        <f>F311*AF311</f>
        <v>0</v>
      </c>
      <c r="AO311" s="37" t="s">
        <v>1075</v>
      </c>
      <c r="AP311" s="37" t="s">
        <v>1097</v>
      </c>
      <c r="AQ311" s="29" t="s">
        <v>1101</v>
      </c>
      <c r="AS311" s="36">
        <f>AM311+AN311</f>
        <v>0</v>
      </c>
      <c r="AT311" s="36">
        <f>G311/(100-AU311)*100</f>
        <v>0</v>
      </c>
      <c r="AU311" s="36">
        <v>0</v>
      </c>
      <c r="AV311" s="36">
        <f>L311</f>
        <v>0.0005682</v>
      </c>
    </row>
    <row r="312" spans="4:6" ht="12.75">
      <c r="D312" s="17" t="s">
        <v>807</v>
      </c>
      <c r="F312" s="21">
        <v>18.94</v>
      </c>
    </row>
    <row r="313" spans="1:48" ht="12.75">
      <c r="A313" s="4" t="s">
        <v>142</v>
      </c>
      <c r="B313" s="4"/>
      <c r="C313" s="4" t="s">
        <v>394</v>
      </c>
      <c r="D313" s="4" t="s">
        <v>806</v>
      </c>
      <c r="E313" s="4" t="s">
        <v>1019</v>
      </c>
      <c r="F313" s="20">
        <v>13.07</v>
      </c>
      <c r="G313" s="20">
        <v>0</v>
      </c>
      <c r="H313" s="20">
        <f>F313*AE313</f>
        <v>0</v>
      </c>
      <c r="I313" s="20">
        <f>J313-H313</f>
        <v>0</v>
      </c>
      <c r="J313" s="20">
        <f>F313*G313</f>
        <v>0</v>
      </c>
      <c r="K313" s="20">
        <v>4E-05</v>
      </c>
      <c r="L313" s="20">
        <f>F313*K313</f>
        <v>0.0005228</v>
      </c>
      <c r="M313" s="32" t="s">
        <v>1040</v>
      </c>
      <c r="P313" s="36">
        <f>IF(AG313="5",J313,0)</f>
        <v>0</v>
      </c>
      <c r="R313" s="36">
        <f>IF(AG313="1",H313,0)</f>
        <v>0</v>
      </c>
      <c r="S313" s="36">
        <f>IF(AG313="1",I313,0)</f>
        <v>0</v>
      </c>
      <c r="T313" s="36">
        <f>IF(AG313="7",H313,0)</f>
        <v>0</v>
      </c>
      <c r="U313" s="36">
        <f>IF(AG313="7",I313,0)</f>
        <v>0</v>
      </c>
      <c r="V313" s="36">
        <f>IF(AG313="2",H313,0)</f>
        <v>0</v>
      </c>
      <c r="W313" s="36">
        <f>IF(AG313="2",I313,0)</f>
        <v>0</v>
      </c>
      <c r="X313" s="36">
        <f>IF(AG313="0",J313,0)</f>
        <v>0</v>
      </c>
      <c r="Y313" s="29"/>
      <c r="Z313" s="20">
        <f>IF(AD313=0,J313,0)</f>
        <v>0</v>
      </c>
      <c r="AA313" s="20">
        <f>IF(AD313=15,J313,0)</f>
        <v>0</v>
      </c>
      <c r="AB313" s="20">
        <f>IF(AD313=21,J313,0)</f>
        <v>0</v>
      </c>
      <c r="AD313" s="36">
        <v>21</v>
      </c>
      <c r="AE313" s="36">
        <f>G313*0.399039161449993</f>
        <v>0</v>
      </c>
      <c r="AF313" s="36">
        <f>G313*(1-0.399039161449993)</f>
        <v>0</v>
      </c>
      <c r="AG313" s="32" t="s">
        <v>13</v>
      </c>
      <c r="AM313" s="36">
        <f>F313*AE313</f>
        <v>0</v>
      </c>
      <c r="AN313" s="36">
        <f>F313*AF313</f>
        <v>0</v>
      </c>
      <c r="AO313" s="37" t="s">
        <v>1075</v>
      </c>
      <c r="AP313" s="37" t="s">
        <v>1097</v>
      </c>
      <c r="AQ313" s="29" t="s">
        <v>1101</v>
      </c>
      <c r="AS313" s="36">
        <f>AM313+AN313</f>
        <v>0</v>
      </c>
      <c r="AT313" s="36">
        <f>G313/(100-AU313)*100</f>
        <v>0</v>
      </c>
      <c r="AU313" s="36">
        <v>0</v>
      </c>
      <c r="AV313" s="36">
        <f>L313</f>
        <v>0.0005228</v>
      </c>
    </row>
    <row r="314" spans="4:6" ht="12.75">
      <c r="D314" s="17" t="s">
        <v>808</v>
      </c>
      <c r="F314" s="21">
        <v>13.07</v>
      </c>
    </row>
    <row r="315" spans="1:48" ht="12.75">
      <c r="A315" s="4" t="s">
        <v>143</v>
      </c>
      <c r="B315" s="4"/>
      <c r="C315" s="4" t="s">
        <v>395</v>
      </c>
      <c r="D315" s="4" t="s">
        <v>809</v>
      </c>
      <c r="E315" s="4" t="s">
        <v>1022</v>
      </c>
      <c r="F315" s="20">
        <v>4</v>
      </c>
      <c r="G315" s="20">
        <v>0</v>
      </c>
      <c r="H315" s="20">
        <f>F315*AE315</f>
        <v>0</v>
      </c>
      <c r="I315" s="20">
        <f>J315-H315</f>
        <v>0</v>
      </c>
      <c r="J315" s="20">
        <f>F315*G315</f>
        <v>0</v>
      </c>
      <c r="K315" s="20">
        <v>0.00704</v>
      </c>
      <c r="L315" s="20">
        <f>F315*K315</f>
        <v>0.02816</v>
      </c>
      <c r="M315" s="32" t="s">
        <v>1040</v>
      </c>
      <c r="P315" s="36">
        <f>IF(AG315="5",J315,0)</f>
        <v>0</v>
      </c>
      <c r="R315" s="36">
        <f>IF(AG315="1",H315,0)</f>
        <v>0</v>
      </c>
      <c r="S315" s="36">
        <f>IF(AG315="1",I315,0)</f>
        <v>0</v>
      </c>
      <c r="T315" s="36">
        <f>IF(AG315="7",H315,0)</f>
        <v>0</v>
      </c>
      <c r="U315" s="36">
        <f>IF(AG315="7",I315,0)</f>
        <v>0</v>
      </c>
      <c r="V315" s="36">
        <f>IF(AG315="2",H315,0)</f>
        <v>0</v>
      </c>
      <c r="W315" s="36">
        <f>IF(AG315="2",I315,0)</f>
        <v>0</v>
      </c>
      <c r="X315" s="36">
        <f>IF(AG315="0",J315,0)</f>
        <v>0</v>
      </c>
      <c r="Y315" s="29"/>
      <c r="Z315" s="20">
        <f>IF(AD315=0,J315,0)</f>
        <v>0</v>
      </c>
      <c r="AA315" s="20">
        <f>IF(AD315=15,J315,0)</f>
        <v>0</v>
      </c>
      <c r="AB315" s="20">
        <f>IF(AD315=21,J315,0)</f>
        <v>0</v>
      </c>
      <c r="AD315" s="36">
        <v>21</v>
      </c>
      <c r="AE315" s="36">
        <f>G315*0.735293885601578</f>
        <v>0</v>
      </c>
      <c r="AF315" s="36">
        <f>G315*(1-0.735293885601578)</f>
        <v>0</v>
      </c>
      <c r="AG315" s="32" t="s">
        <v>13</v>
      </c>
      <c r="AM315" s="36">
        <f>F315*AE315</f>
        <v>0</v>
      </c>
      <c r="AN315" s="36">
        <f>F315*AF315</f>
        <v>0</v>
      </c>
      <c r="AO315" s="37" t="s">
        <v>1075</v>
      </c>
      <c r="AP315" s="37" t="s">
        <v>1097</v>
      </c>
      <c r="AQ315" s="29" t="s">
        <v>1101</v>
      </c>
      <c r="AS315" s="36">
        <f>AM315+AN315</f>
        <v>0</v>
      </c>
      <c r="AT315" s="36">
        <f>G315/(100-AU315)*100</f>
        <v>0</v>
      </c>
      <c r="AU315" s="36">
        <v>0</v>
      </c>
      <c r="AV315" s="36">
        <f>L315</f>
        <v>0.02816</v>
      </c>
    </row>
    <row r="316" spans="3:13" ht="12.75">
      <c r="C316" s="14" t="s">
        <v>255</v>
      </c>
      <c r="D316" s="91" t="s">
        <v>810</v>
      </c>
      <c r="E316" s="92"/>
      <c r="F316" s="92"/>
      <c r="G316" s="92"/>
      <c r="H316" s="92"/>
      <c r="I316" s="92"/>
      <c r="J316" s="92"/>
      <c r="K316" s="92"/>
      <c r="L316" s="92"/>
      <c r="M316" s="92"/>
    </row>
    <row r="317" spans="1:48" ht="12.75">
      <c r="A317" s="4" t="s">
        <v>144</v>
      </c>
      <c r="B317" s="4"/>
      <c r="C317" s="4" t="s">
        <v>396</v>
      </c>
      <c r="D317" s="4" t="s">
        <v>811</v>
      </c>
      <c r="E317" s="4" t="s">
        <v>1015</v>
      </c>
      <c r="F317" s="20">
        <v>0.07275</v>
      </c>
      <c r="G317" s="20">
        <v>0</v>
      </c>
      <c r="H317" s="20">
        <f>F317*AE317</f>
        <v>0</v>
      </c>
      <c r="I317" s="20">
        <f>J317-H317</f>
        <v>0</v>
      </c>
      <c r="J317" s="20">
        <f>F317*G317</f>
        <v>0</v>
      </c>
      <c r="K317" s="20">
        <v>0</v>
      </c>
      <c r="L317" s="20">
        <f>F317*K317</f>
        <v>0</v>
      </c>
      <c r="M317" s="32" t="s">
        <v>1040</v>
      </c>
      <c r="P317" s="36">
        <f>IF(AG317="5",J317,0)</f>
        <v>0</v>
      </c>
      <c r="R317" s="36">
        <f>IF(AG317="1",H317,0)</f>
        <v>0</v>
      </c>
      <c r="S317" s="36">
        <f>IF(AG317="1",I317,0)</f>
        <v>0</v>
      </c>
      <c r="T317" s="36">
        <f>IF(AG317="7",H317,0)</f>
        <v>0</v>
      </c>
      <c r="U317" s="36">
        <f>IF(AG317="7",I317,0)</f>
        <v>0</v>
      </c>
      <c r="V317" s="36">
        <f>IF(AG317="2",H317,0)</f>
        <v>0</v>
      </c>
      <c r="W317" s="36">
        <f>IF(AG317="2",I317,0)</f>
        <v>0</v>
      </c>
      <c r="X317" s="36">
        <f>IF(AG317="0",J317,0)</f>
        <v>0</v>
      </c>
      <c r="Y317" s="29"/>
      <c r="Z317" s="20">
        <f>IF(AD317=0,J317,0)</f>
        <v>0</v>
      </c>
      <c r="AA317" s="20">
        <f>IF(AD317=15,J317,0)</f>
        <v>0</v>
      </c>
      <c r="AB317" s="20">
        <f>IF(AD317=21,J317,0)</f>
        <v>0</v>
      </c>
      <c r="AD317" s="36">
        <v>21</v>
      </c>
      <c r="AE317" s="36">
        <f>G317*0</f>
        <v>0</v>
      </c>
      <c r="AF317" s="36">
        <f>G317*(1-0)</f>
        <v>0</v>
      </c>
      <c r="AG317" s="32" t="s">
        <v>11</v>
      </c>
      <c r="AM317" s="36">
        <f>F317*AE317</f>
        <v>0</v>
      </c>
      <c r="AN317" s="36">
        <f>F317*AF317</f>
        <v>0</v>
      </c>
      <c r="AO317" s="37" t="s">
        <v>1075</v>
      </c>
      <c r="AP317" s="37" t="s">
        <v>1097</v>
      </c>
      <c r="AQ317" s="29" t="s">
        <v>1101</v>
      </c>
      <c r="AS317" s="36">
        <f>AM317+AN317</f>
        <v>0</v>
      </c>
      <c r="AT317" s="36">
        <f>G317/(100-AU317)*100</f>
        <v>0</v>
      </c>
      <c r="AU317" s="36">
        <v>0</v>
      </c>
      <c r="AV317" s="36">
        <f>L317</f>
        <v>0</v>
      </c>
    </row>
    <row r="318" spans="1:37" ht="12.75">
      <c r="A318" s="5"/>
      <c r="B318" s="13"/>
      <c r="C318" s="13" t="s">
        <v>397</v>
      </c>
      <c r="D318" s="93" t="s">
        <v>812</v>
      </c>
      <c r="E318" s="94"/>
      <c r="F318" s="94"/>
      <c r="G318" s="94"/>
      <c r="H318" s="39">
        <f>SUM(H319:H347)</f>
        <v>0</v>
      </c>
      <c r="I318" s="39">
        <f>SUM(I319:I347)</f>
        <v>0</v>
      </c>
      <c r="J318" s="39">
        <f>H318+I318</f>
        <v>0</v>
      </c>
      <c r="K318" s="29"/>
      <c r="L318" s="39">
        <f>SUM(L319:L347)</f>
        <v>0.89032</v>
      </c>
      <c r="M318" s="29"/>
      <c r="Y318" s="29"/>
      <c r="AI318" s="39">
        <f>SUM(Z319:Z347)</f>
        <v>0</v>
      </c>
      <c r="AJ318" s="39">
        <f>SUM(AA319:AA347)</f>
        <v>0</v>
      </c>
      <c r="AK318" s="39">
        <f>SUM(AB319:AB347)</f>
        <v>0</v>
      </c>
    </row>
    <row r="319" spans="1:48" ht="12.75">
      <c r="A319" s="4" t="s">
        <v>145</v>
      </c>
      <c r="B319" s="4"/>
      <c r="C319" s="4" t="s">
        <v>398</v>
      </c>
      <c r="D319" s="4" t="s">
        <v>813</v>
      </c>
      <c r="E319" s="4" t="s">
        <v>1022</v>
      </c>
      <c r="F319" s="20">
        <v>4</v>
      </c>
      <c r="G319" s="20">
        <v>0</v>
      </c>
      <c r="H319" s="20">
        <f aca="true" t="shared" si="20" ref="H319:H324">F319*AE319</f>
        <v>0</v>
      </c>
      <c r="I319" s="20">
        <f aca="true" t="shared" si="21" ref="I319:I324">J319-H319</f>
        <v>0</v>
      </c>
      <c r="J319" s="20">
        <f aca="true" t="shared" si="22" ref="J319:J324">F319*G319</f>
        <v>0</v>
      </c>
      <c r="K319" s="20">
        <v>0.01772</v>
      </c>
      <c r="L319" s="20">
        <f aca="true" t="shared" si="23" ref="L319:L324">F319*K319</f>
        <v>0.07088</v>
      </c>
      <c r="M319" s="32" t="s">
        <v>1040</v>
      </c>
      <c r="P319" s="36">
        <f aca="true" t="shared" si="24" ref="P319:P324">IF(AG319="5",J319,0)</f>
        <v>0</v>
      </c>
      <c r="R319" s="36">
        <f aca="true" t="shared" si="25" ref="R319:R324">IF(AG319="1",H319,0)</f>
        <v>0</v>
      </c>
      <c r="S319" s="36">
        <f aca="true" t="shared" si="26" ref="S319:S324">IF(AG319="1",I319,0)</f>
        <v>0</v>
      </c>
      <c r="T319" s="36">
        <f aca="true" t="shared" si="27" ref="T319:T324">IF(AG319="7",H319,0)</f>
        <v>0</v>
      </c>
      <c r="U319" s="36">
        <f aca="true" t="shared" si="28" ref="U319:U324">IF(AG319="7",I319,0)</f>
        <v>0</v>
      </c>
      <c r="V319" s="36">
        <f aca="true" t="shared" si="29" ref="V319:V324">IF(AG319="2",H319,0)</f>
        <v>0</v>
      </c>
      <c r="W319" s="36">
        <f aca="true" t="shared" si="30" ref="W319:W324">IF(AG319="2",I319,0)</f>
        <v>0</v>
      </c>
      <c r="X319" s="36">
        <f aca="true" t="shared" si="31" ref="X319:X324">IF(AG319="0",J319,0)</f>
        <v>0</v>
      </c>
      <c r="Y319" s="29"/>
      <c r="Z319" s="20">
        <f aca="true" t="shared" si="32" ref="Z319:Z324">IF(AD319=0,J319,0)</f>
        <v>0</v>
      </c>
      <c r="AA319" s="20">
        <f aca="true" t="shared" si="33" ref="AA319:AA324">IF(AD319=15,J319,0)</f>
        <v>0</v>
      </c>
      <c r="AB319" s="20">
        <f aca="true" t="shared" si="34" ref="AB319:AB324">IF(AD319=21,J319,0)</f>
        <v>0</v>
      </c>
      <c r="AD319" s="36">
        <v>21</v>
      </c>
      <c r="AE319" s="36">
        <f>G319*0.887179856115108</f>
        <v>0</v>
      </c>
      <c r="AF319" s="36">
        <f>G319*(1-0.887179856115108)</f>
        <v>0</v>
      </c>
      <c r="AG319" s="32" t="s">
        <v>13</v>
      </c>
      <c r="AM319" s="36">
        <f aca="true" t="shared" si="35" ref="AM319:AM324">F319*AE319</f>
        <v>0</v>
      </c>
      <c r="AN319" s="36">
        <f aca="true" t="shared" si="36" ref="AN319:AN324">F319*AF319</f>
        <v>0</v>
      </c>
      <c r="AO319" s="37" t="s">
        <v>1076</v>
      </c>
      <c r="AP319" s="37" t="s">
        <v>1097</v>
      </c>
      <c r="AQ319" s="29" t="s">
        <v>1101</v>
      </c>
      <c r="AS319" s="36">
        <f aca="true" t="shared" si="37" ref="AS319:AS324">AM319+AN319</f>
        <v>0</v>
      </c>
      <c r="AT319" s="36">
        <f aca="true" t="shared" si="38" ref="AT319:AT324">G319/(100-AU319)*100</f>
        <v>0</v>
      </c>
      <c r="AU319" s="36">
        <v>0</v>
      </c>
      <c r="AV319" s="36">
        <f aca="true" t="shared" si="39" ref="AV319:AV324">L319</f>
        <v>0.07088</v>
      </c>
    </row>
    <row r="320" spans="1:48" ht="12.75">
      <c r="A320" s="4" t="s">
        <v>146</v>
      </c>
      <c r="B320" s="4"/>
      <c r="C320" s="4" t="s">
        <v>399</v>
      </c>
      <c r="D320" s="4" t="s">
        <v>814</v>
      </c>
      <c r="E320" s="4" t="s">
        <v>1022</v>
      </c>
      <c r="F320" s="20">
        <v>8</v>
      </c>
      <c r="G320" s="20">
        <v>0</v>
      </c>
      <c r="H320" s="20">
        <f t="shared" si="20"/>
        <v>0</v>
      </c>
      <c r="I320" s="20">
        <f t="shared" si="21"/>
        <v>0</v>
      </c>
      <c r="J320" s="20">
        <f t="shared" si="22"/>
        <v>0</v>
      </c>
      <c r="K320" s="20">
        <v>0.01701</v>
      </c>
      <c r="L320" s="20">
        <f t="shared" si="23"/>
        <v>0.13608</v>
      </c>
      <c r="M320" s="32" t="s">
        <v>1040</v>
      </c>
      <c r="P320" s="36">
        <f t="shared" si="24"/>
        <v>0</v>
      </c>
      <c r="R320" s="36">
        <f t="shared" si="25"/>
        <v>0</v>
      </c>
      <c r="S320" s="36">
        <f t="shared" si="26"/>
        <v>0</v>
      </c>
      <c r="T320" s="36">
        <f t="shared" si="27"/>
        <v>0</v>
      </c>
      <c r="U320" s="36">
        <f t="shared" si="28"/>
        <v>0</v>
      </c>
      <c r="V320" s="36">
        <f t="shared" si="29"/>
        <v>0</v>
      </c>
      <c r="W320" s="36">
        <f t="shared" si="30"/>
        <v>0</v>
      </c>
      <c r="X320" s="36">
        <f t="shared" si="31"/>
        <v>0</v>
      </c>
      <c r="Y320" s="29"/>
      <c r="Z320" s="20">
        <f t="shared" si="32"/>
        <v>0</v>
      </c>
      <c r="AA320" s="20">
        <f t="shared" si="33"/>
        <v>0</v>
      </c>
      <c r="AB320" s="20">
        <f t="shared" si="34"/>
        <v>0</v>
      </c>
      <c r="AD320" s="36">
        <v>21</v>
      </c>
      <c r="AE320" s="36">
        <f>G320*0.715170720396673</f>
        <v>0</v>
      </c>
      <c r="AF320" s="36">
        <f>G320*(1-0.715170720396673)</f>
        <v>0</v>
      </c>
      <c r="AG320" s="32" t="s">
        <v>13</v>
      </c>
      <c r="AM320" s="36">
        <f t="shared" si="35"/>
        <v>0</v>
      </c>
      <c r="AN320" s="36">
        <f t="shared" si="36"/>
        <v>0</v>
      </c>
      <c r="AO320" s="37" t="s">
        <v>1076</v>
      </c>
      <c r="AP320" s="37" t="s">
        <v>1097</v>
      </c>
      <c r="AQ320" s="29" t="s">
        <v>1101</v>
      </c>
      <c r="AS320" s="36">
        <f t="shared" si="37"/>
        <v>0</v>
      </c>
      <c r="AT320" s="36">
        <f t="shared" si="38"/>
        <v>0</v>
      </c>
      <c r="AU320" s="36">
        <v>0</v>
      </c>
      <c r="AV320" s="36">
        <f t="shared" si="39"/>
        <v>0.13608</v>
      </c>
    </row>
    <row r="321" spans="1:48" ht="12.75">
      <c r="A321" s="4" t="s">
        <v>147</v>
      </c>
      <c r="B321" s="4"/>
      <c r="C321" s="4" t="s">
        <v>400</v>
      </c>
      <c r="D321" s="4" t="s">
        <v>815</v>
      </c>
      <c r="E321" s="4" t="s">
        <v>1022</v>
      </c>
      <c r="F321" s="20">
        <v>8</v>
      </c>
      <c r="G321" s="20">
        <v>0</v>
      </c>
      <c r="H321" s="20">
        <f t="shared" si="20"/>
        <v>0</v>
      </c>
      <c r="I321" s="20">
        <f t="shared" si="21"/>
        <v>0</v>
      </c>
      <c r="J321" s="20">
        <f t="shared" si="22"/>
        <v>0</v>
      </c>
      <c r="K321" s="20">
        <v>0.00807</v>
      </c>
      <c r="L321" s="20">
        <f t="shared" si="23"/>
        <v>0.06456</v>
      </c>
      <c r="M321" s="32" t="s">
        <v>1040</v>
      </c>
      <c r="P321" s="36">
        <f t="shared" si="24"/>
        <v>0</v>
      </c>
      <c r="R321" s="36">
        <f t="shared" si="25"/>
        <v>0</v>
      </c>
      <c r="S321" s="36">
        <f t="shared" si="26"/>
        <v>0</v>
      </c>
      <c r="T321" s="36">
        <f t="shared" si="27"/>
        <v>0</v>
      </c>
      <c r="U321" s="36">
        <f t="shared" si="28"/>
        <v>0</v>
      </c>
      <c r="V321" s="36">
        <f t="shared" si="29"/>
        <v>0</v>
      </c>
      <c r="W321" s="36">
        <f t="shared" si="30"/>
        <v>0</v>
      </c>
      <c r="X321" s="36">
        <f t="shared" si="31"/>
        <v>0</v>
      </c>
      <c r="Y321" s="29"/>
      <c r="Z321" s="20">
        <f t="shared" si="32"/>
        <v>0</v>
      </c>
      <c r="AA321" s="20">
        <f t="shared" si="33"/>
        <v>0</v>
      </c>
      <c r="AB321" s="20">
        <f t="shared" si="34"/>
        <v>0</v>
      </c>
      <c r="AD321" s="36">
        <v>21</v>
      </c>
      <c r="AE321" s="36">
        <f>G321*0.887796810598206</f>
        <v>0</v>
      </c>
      <c r="AF321" s="36">
        <f>G321*(1-0.887796810598206)</f>
        <v>0</v>
      </c>
      <c r="AG321" s="32" t="s">
        <v>13</v>
      </c>
      <c r="AM321" s="36">
        <f t="shared" si="35"/>
        <v>0</v>
      </c>
      <c r="AN321" s="36">
        <f t="shared" si="36"/>
        <v>0</v>
      </c>
      <c r="AO321" s="37" t="s">
        <v>1076</v>
      </c>
      <c r="AP321" s="37" t="s">
        <v>1097</v>
      </c>
      <c r="AQ321" s="29" t="s">
        <v>1101</v>
      </c>
      <c r="AS321" s="36">
        <f t="shared" si="37"/>
        <v>0</v>
      </c>
      <c r="AT321" s="36">
        <f t="shared" si="38"/>
        <v>0</v>
      </c>
      <c r="AU321" s="36">
        <v>0</v>
      </c>
      <c r="AV321" s="36">
        <f t="shared" si="39"/>
        <v>0.06456</v>
      </c>
    </row>
    <row r="322" spans="1:48" ht="12.75">
      <c r="A322" s="4" t="s">
        <v>148</v>
      </c>
      <c r="B322" s="4"/>
      <c r="C322" s="4" t="s">
        <v>401</v>
      </c>
      <c r="D322" s="4" t="s">
        <v>816</v>
      </c>
      <c r="E322" s="4" t="s">
        <v>1022</v>
      </c>
      <c r="F322" s="20">
        <v>1</v>
      </c>
      <c r="G322" s="20">
        <v>0</v>
      </c>
      <c r="H322" s="20">
        <f t="shared" si="20"/>
        <v>0</v>
      </c>
      <c r="I322" s="20">
        <f t="shared" si="21"/>
        <v>0</v>
      </c>
      <c r="J322" s="20">
        <f t="shared" si="22"/>
        <v>0</v>
      </c>
      <c r="K322" s="20">
        <v>0.0109</v>
      </c>
      <c r="L322" s="20">
        <f t="shared" si="23"/>
        <v>0.0109</v>
      </c>
      <c r="M322" s="32" t="s">
        <v>1040</v>
      </c>
      <c r="P322" s="36">
        <f t="shared" si="24"/>
        <v>0</v>
      </c>
      <c r="R322" s="36">
        <f t="shared" si="25"/>
        <v>0</v>
      </c>
      <c r="S322" s="36">
        <f t="shared" si="26"/>
        <v>0</v>
      </c>
      <c r="T322" s="36">
        <f t="shared" si="27"/>
        <v>0</v>
      </c>
      <c r="U322" s="36">
        <f t="shared" si="28"/>
        <v>0</v>
      </c>
      <c r="V322" s="36">
        <f t="shared" si="29"/>
        <v>0</v>
      </c>
      <c r="W322" s="36">
        <f t="shared" si="30"/>
        <v>0</v>
      </c>
      <c r="X322" s="36">
        <f t="shared" si="31"/>
        <v>0</v>
      </c>
      <c r="Y322" s="29"/>
      <c r="Z322" s="20">
        <f t="shared" si="32"/>
        <v>0</v>
      </c>
      <c r="AA322" s="20">
        <f t="shared" si="33"/>
        <v>0</v>
      </c>
      <c r="AB322" s="20">
        <f t="shared" si="34"/>
        <v>0</v>
      </c>
      <c r="AD322" s="36">
        <v>21</v>
      </c>
      <c r="AE322" s="36">
        <f>G322*0.890625407166124</f>
        <v>0</v>
      </c>
      <c r="AF322" s="36">
        <f>G322*(1-0.890625407166124)</f>
        <v>0</v>
      </c>
      <c r="AG322" s="32" t="s">
        <v>13</v>
      </c>
      <c r="AM322" s="36">
        <f t="shared" si="35"/>
        <v>0</v>
      </c>
      <c r="AN322" s="36">
        <f t="shared" si="36"/>
        <v>0</v>
      </c>
      <c r="AO322" s="37" t="s">
        <v>1076</v>
      </c>
      <c r="AP322" s="37" t="s">
        <v>1097</v>
      </c>
      <c r="AQ322" s="29" t="s">
        <v>1101</v>
      </c>
      <c r="AS322" s="36">
        <f t="shared" si="37"/>
        <v>0</v>
      </c>
      <c r="AT322" s="36">
        <f t="shared" si="38"/>
        <v>0</v>
      </c>
      <c r="AU322" s="36">
        <v>0</v>
      </c>
      <c r="AV322" s="36">
        <f t="shared" si="39"/>
        <v>0.0109</v>
      </c>
    </row>
    <row r="323" spans="1:48" ht="12.75">
      <c r="A323" s="4" t="s">
        <v>149</v>
      </c>
      <c r="B323" s="4"/>
      <c r="C323" s="4" t="s">
        <v>402</v>
      </c>
      <c r="D323" s="4" t="s">
        <v>817</v>
      </c>
      <c r="E323" s="4" t="s">
        <v>1022</v>
      </c>
      <c r="F323" s="20">
        <v>36</v>
      </c>
      <c r="G323" s="20">
        <v>0</v>
      </c>
      <c r="H323" s="20">
        <f t="shared" si="20"/>
        <v>0</v>
      </c>
      <c r="I323" s="20">
        <f t="shared" si="21"/>
        <v>0</v>
      </c>
      <c r="J323" s="20">
        <f t="shared" si="22"/>
        <v>0</v>
      </c>
      <c r="K323" s="20">
        <v>3E-05</v>
      </c>
      <c r="L323" s="20">
        <f t="shared" si="23"/>
        <v>0.00108</v>
      </c>
      <c r="M323" s="32" t="s">
        <v>1040</v>
      </c>
      <c r="P323" s="36">
        <f t="shared" si="24"/>
        <v>0</v>
      </c>
      <c r="R323" s="36">
        <f t="shared" si="25"/>
        <v>0</v>
      </c>
      <c r="S323" s="36">
        <f t="shared" si="26"/>
        <v>0</v>
      </c>
      <c r="T323" s="36">
        <f t="shared" si="27"/>
        <v>0</v>
      </c>
      <c r="U323" s="36">
        <f t="shared" si="28"/>
        <v>0</v>
      </c>
      <c r="V323" s="36">
        <f t="shared" si="29"/>
        <v>0</v>
      </c>
      <c r="W323" s="36">
        <f t="shared" si="30"/>
        <v>0</v>
      </c>
      <c r="X323" s="36">
        <f t="shared" si="31"/>
        <v>0</v>
      </c>
      <c r="Y323" s="29"/>
      <c r="Z323" s="20">
        <f t="shared" si="32"/>
        <v>0</v>
      </c>
      <c r="AA323" s="20">
        <f t="shared" si="33"/>
        <v>0</v>
      </c>
      <c r="AB323" s="20">
        <f t="shared" si="34"/>
        <v>0</v>
      </c>
      <c r="AD323" s="36">
        <v>21</v>
      </c>
      <c r="AE323" s="36">
        <f>G323*0.0825482625482625</f>
        <v>0</v>
      </c>
      <c r="AF323" s="36">
        <f>G323*(1-0.0825482625482625)</f>
        <v>0</v>
      </c>
      <c r="AG323" s="32" t="s">
        <v>13</v>
      </c>
      <c r="AM323" s="36">
        <f t="shared" si="35"/>
        <v>0</v>
      </c>
      <c r="AN323" s="36">
        <f t="shared" si="36"/>
        <v>0</v>
      </c>
      <c r="AO323" s="37" t="s">
        <v>1076</v>
      </c>
      <c r="AP323" s="37" t="s">
        <v>1097</v>
      </c>
      <c r="AQ323" s="29" t="s">
        <v>1101</v>
      </c>
      <c r="AS323" s="36">
        <f t="shared" si="37"/>
        <v>0</v>
      </c>
      <c r="AT323" s="36">
        <f t="shared" si="38"/>
        <v>0</v>
      </c>
      <c r="AU323" s="36">
        <v>0</v>
      </c>
      <c r="AV323" s="36">
        <f t="shared" si="39"/>
        <v>0.00108</v>
      </c>
    </row>
    <row r="324" spans="1:48" ht="12.75">
      <c r="A324" s="4" t="s">
        <v>150</v>
      </c>
      <c r="B324" s="4"/>
      <c r="C324" s="4" t="s">
        <v>403</v>
      </c>
      <c r="D324" s="4" t="s">
        <v>818</v>
      </c>
      <c r="E324" s="4" t="s">
        <v>1018</v>
      </c>
      <c r="F324" s="20">
        <v>1</v>
      </c>
      <c r="G324" s="20">
        <v>0</v>
      </c>
      <c r="H324" s="20">
        <f t="shared" si="20"/>
        <v>0</v>
      </c>
      <c r="I324" s="20">
        <f t="shared" si="21"/>
        <v>0</v>
      </c>
      <c r="J324" s="20">
        <f t="shared" si="22"/>
        <v>0</v>
      </c>
      <c r="K324" s="20">
        <v>0.00172</v>
      </c>
      <c r="L324" s="20">
        <f t="shared" si="23"/>
        <v>0.00172</v>
      </c>
      <c r="M324" s="32" t="s">
        <v>1040</v>
      </c>
      <c r="P324" s="36">
        <f t="shared" si="24"/>
        <v>0</v>
      </c>
      <c r="R324" s="36">
        <f t="shared" si="25"/>
        <v>0</v>
      </c>
      <c r="S324" s="36">
        <f t="shared" si="26"/>
        <v>0</v>
      </c>
      <c r="T324" s="36">
        <f t="shared" si="27"/>
        <v>0</v>
      </c>
      <c r="U324" s="36">
        <f t="shared" si="28"/>
        <v>0</v>
      </c>
      <c r="V324" s="36">
        <f t="shared" si="29"/>
        <v>0</v>
      </c>
      <c r="W324" s="36">
        <f t="shared" si="30"/>
        <v>0</v>
      </c>
      <c r="X324" s="36">
        <f t="shared" si="31"/>
        <v>0</v>
      </c>
      <c r="Y324" s="29"/>
      <c r="Z324" s="20">
        <f t="shared" si="32"/>
        <v>0</v>
      </c>
      <c r="AA324" s="20">
        <f t="shared" si="33"/>
        <v>0</v>
      </c>
      <c r="AB324" s="20">
        <f t="shared" si="34"/>
        <v>0</v>
      </c>
      <c r="AD324" s="36">
        <v>21</v>
      </c>
      <c r="AE324" s="36">
        <f>G324*0.922930337078652</f>
        <v>0</v>
      </c>
      <c r="AF324" s="36">
        <f>G324*(1-0.922930337078652)</f>
        <v>0</v>
      </c>
      <c r="AG324" s="32" t="s">
        <v>13</v>
      </c>
      <c r="AM324" s="36">
        <f t="shared" si="35"/>
        <v>0</v>
      </c>
      <c r="AN324" s="36">
        <f t="shared" si="36"/>
        <v>0</v>
      </c>
      <c r="AO324" s="37" t="s">
        <v>1076</v>
      </c>
      <c r="AP324" s="37" t="s">
        <v>1097</v>
      </c>
      <c r="AQ324" s="29" t="s">
        <v>1101</v>
      </c>
      <c r="AS324" s="36">
        <f t="shared" si="37"/>
        <v>0</v>
      </c>
      <c r="AT324" s="36">
        <f t="shared" si="38"/>
        <v>0</v>
      </c>
      <c r="AU324" s="36">
        <v>0</v>
      </c>
      <c r="AV324" s="36">
        <f t="shared" si="39"/>
        <v>0.00172</v>
      </c>
    </row>
    <row r="325" spans="3:13" ht="12.75">
      <c r="C325" s="14" t="s">
        <v>255</v>
      </c>
      <c r="D325" s="91" t="s">
        <v>819</v>
      </c>
      <c r="E325" s="92"/>
      <c r="F325" s="92"/>
      <c r="G325" s="92"/>
      <c r="H325" s="92"/>
      <c r="I325" s="92"/>
      <c r="J325" s="92"/>
      <c r="K325" s="92"/>
      <c r="L325" s="92"/>
      <c r="M325" s="92"/>
    </row>
    <row r="326" spans="1:48" ht="12.75">
      <c r="A326" s="4" t="s">
        <v>151</v>
      </c>
      <c r="B326" s="4"/>
      <c r="C326" s="4" t="s">
        <v>404</v>
      </c>
      <c r="D326" s="4" t="s">
        <v>820</v>
      </c>
      <c r="E326" s="4" t="s">
        <v>1018</v>
      </c>
      <c r="F326" s="20">
        <v>12</v>
      </c>
      <c r="G326" s="20">
        <v>0</v>
      </c>
      <c r="H326" s="20">
        <f>F326*AE326</f>
        <v>0</v>
      </c>
      <c r="I326" s="20">
        <f>J326-H326</f>
        <v>0</v>
      </c>
      <c r="J326" s="20">
        <f>F326*G326</f>
        <v>0</v>
      </c>
      <c r="K326" s="20">
        <v>0.00104</v>
      </c>
      <c r="L326" s="20">
        <f>F326*K326</f>
        <v>0.012479999999999998</v>
      </c>
      <c r="M326" s="32" t="s">
        <v>1040</v>
      </c>
      <c r="P326" s="36">
        <f>IF(AG326="5",J326,0)</f>
        <v>0</v>
      </c>
      <c r="R326" s="36">
        <f>IF(AG326="1",H326,0)</f>
        <v>0</v>
      </c>
      <c r="S326" s="36">
        <f>IF(AG326="1",I326,0)</f>
        <v>0</v>
      </c>
      <c r="T326" s="36">
        <f>IF(AG326="7",H326,0)</f>
        <v>0</v>
      </c>
      <c r="U326" s="36">
        <f>IF(AG326="7",I326,0)</f>
        <v>0</v>
      </c>
      <c r="V326" s="36">
        <f>IF(AG326="2",H326,0)</f>
        <v>0</v>
      </c>
      <c r="W326" s="36">
        <f>IF(AG326="2",I326,0)</f>
        <v>0</v>
      </c>
      <c r="X326" s="36">
        <f>IF(AG326="0",J326,0)</f>
        <v>0</v>
      </c>
      <c r="Y326" s="29"/>
      <c r="Z326" s="20">
        <f>IF(AD326=0,J326,0)</f>
        <v>0</v>
      </c>
      <c r="AA326" s="20">
        <f>IF(AD326=15,J326,0)</f>
        <v>0</v>
      </c>
      <c r="AB326" s="20">
        <f>IF(AD326=21,J326,0)</f>
        <v>0</v>
      </c>
      <c r="AD326" s="36">
        <v>21</v>
      </c>
      <c r="AE326" s="36">
        <f>G326*0.903188405797101</f>
        <v>0</v>
      </c>
      <c r="AF326" s="36">
        <f>G326*(1-0.903188405797101)</f>
        <v>0</v>
      </c>
      <c r="AG326" s="32" t="s">
        <v>13</v>
      </c>
      <c r="AM326" s="36">
        <f>F326*AE326</f>
        <v>0</v>
      </c>
      <c r="AN326" s="36">
        <f>F326*AF326</f>
        <v>0</v>
      </c>
      <c r="AO326" s="37" t="s">
        <v>1076</v>
      </c>
      <c r="AP326" s="37" t="s">
        <v>1097</v>
      </c>
      <c r="AQ326" s="29" t="s">
        <v>1101</v>
      </c>
      <c r="AS326" s="36">
        <f>AM326+AN326</f>
        <v>0</v>
      </c>
      <c r="AT326" s="36">
        <f>G326/(100-AU326)*100</f>
        <v>0</v>
      </c>
      <c r="AU326" s="36">
        <v>0</v>
      </c>
      <c r="AV326" s="36">
        <f>L326</f>
        <v>0.012479999999999998</v>
      </c>
    </row>
    <row r="327" spans="3:13" ht="12.75">
      <c r="C327" s="14" t="s">
        <v>255</v>
      </c>
      <c r="D327" s="91" t="s">
        <v>821</v>
      </c>
      <c r="E327" s="92"/>
      <c r="F327" s="92"/>
      <c r="G327" s="92"/>
      <c r="H327" s="92"/>
      <c r="I327" s="92"/>
      <c r="J327" s="92"/>
      <c r="K327" s="92"/>
      <c r="L327" s="92"/>
      <c r="M327" s="92"/>
    </row>
    <row r="328" spans="1:48" ht="12.75">
      <c r="A328" s="4" t="s">
        <v>152</v>
      </c>
      <c r="B328" s="4"/>
      <c r="C328" s="4" t="s">
        <v>405</v>
      </c>
      <c r="D328" s="4" t="s">
        <v>822</v>
      </c>
      <c r="E328" s="4" t="s">
        <v>1018</v>
      </c>
      <c r="F328" s="20">
        <v>24</v>
      </c>
      <c r="G328" s="20">
        <v>0</v>
      </c>
      <c r="H328" s="20">
        <f>F328*AE328</f>
        <v>0</v>
      </c>
      <c r="I328" s="20">
        <f>J328-H328</f>
        <v>0</v>
      </c>
      <c r="J328" s="20">
        <f>F328*G328</f>
        <v>0</v>
      </c>
      <c r="K328" s="20">
        <v>0</v>
      </c>
      <c r="L328" s="20">
        <f>F328*K328</f>
        <v>0</v>
      </c>
      <c r="M328" s="32"/>
      <c r="P328" s="36">
        <f>IF(AG328="5",J328,0)</f>
        <v>0</v>
      </c>
      <c r="R328" s="36">
        <f>IF(AG328="1",H328,0)</f>
        <v>0</v>
      </c>
      <c r="S328" s="36">
        <f>IF(AG328="1",I328,0)</f>
        <v>0</v>
      </c>
      <c r="T328" s="36">
        <f>IF(AG328="7",H328,0)</f>
        <v>0</v>
      </c>
      <c r="U328" s="36">
        <f>IF(AG328="7",I328,0)</f>
        <v>0</v>
      </c>
      <c r="V328" s="36">
        <f>IF(AG328="2",H328,0)</f>
        <v>0</v>
      </c>
      <c r="W328" s="36">
        <f>IF(AG328="2",I328,0)</f>
        <v>0</v>
      </c>
      <c r="X328" s="36">
        <f>IF(AG328="0",J328,0)</f>
        <v>0</v>
      </c>
      <c r="Y328" s="29"/>
      <c r="Z328" s="20">
        <f>IF(AD328=0,J328,0)</f>
        <v>0</v>
      </c>
      <c r="AA328" s="20">
        <f>IF(AD328=15,J328,0)</f>
        <v>0</v>
      </c>
      <c r="AB328" s="20">
        <f>IF(AD328=21,J328,0)</f>
        <v>0</v>
      </c>
      <c r="AD328" s="36">
        <v>21</v>
      </c>
      <c r="AE328" s="36">
        <f>G328*1</f>
        <v>0</v>
      </c>
      <c r="AF328" s="36">
        <f>G328*(1-1)</f>
        <v>0</v>
      </c>
      <c r="AG328" s="32" t="s">
        <v>13</v>
      </c>
      <c r="AM328" s="36">
        <f>F328*AE328</f>
        <v>0</v>
      </c>
      <c r="AN328" s="36">
        <f>F328*AF328</f>
        <v>0</v>
      </c>
      <c r="AO328" s="37" t="s">
        <v>1076</v>
      </c>
      <c r="AP328" s="37" t="s">
        <v>1097</v>
      </c>
      <c r="AQ328" s="29" t="s">
        <v>1101</v>
      </c>
      <c r="AS328" s="36">
        <f>AM328+AN328</f>
        <v>0</v>
      </c>
      <c r="AT328" s="36">
        <f>G328/(100-AU328)*100</f>
        <v>0</v>
      </c>
      <c r="AU328" s="36">
        <v>0</v>
      </c>
      <c r="AV328" s="36">
        <f>L328</f>
        <v>0</v>
      </c>
    </row>
    <row r="329" spans="1:48" ht="12.75">
      <c r="A329" s="4" t="s">
        <v>153</v>
      </c>
      <c r="B329" s="4"/>
      <c r="C329" s="4" t="s">
        <v>406</v>
      </c>
      <c r="D329" s="4" t="s">
        <v>823</v>
      </c>
      <c r="E329" s="4" t="s">
        <v>1018</v>
      </c>
      <c r="F329" s="20">
        <v>1</v>
      </c>
      <c r="G329" s="20">
        <v>0</v>
      </c>
      <c r="H329" s="20">
        <f>F329*AE329</f>
        <v>0</v>
      </c>
      <c r="I329" s="20">
        <f>J329-H329</f>
        <v>0</v>
      </c>
      <c r="J329" s="20">
        <f>F329*G329</f>
        <v>0</v>
      </c>
      <c r="K329" s="20">
        <v>0.0008</v>
      </c>
      <c r="L329" s="20">
        <f>F329*K329</f>
        <v>0.0008</v>
      </c>
      <c r="M329" s="32" t="s">
        <v>1040</v>
      </c>
      <c r="P329" s="36">
        <f>IF(AG329="5",J329,0)</f>
        <v>0</v>
      </c>
      <c r="R329" s="36">
        <f>IF(AG329="1",H329,0)</f>
        <v>0</v>
      </c>
      <c r="S329" s="36">
        <f>IF(AG329="1",I329,0)</f>
        <v>0</v>
      </c>
      <c r="T329" s="36">
        <f>IF(AG329="7",H329,0)</f>
        <v>0</v>
      </c>
      <c r="U329" s="36">
        <f>IF(AG329="7",I329,0)</f>
        <v>0</v>
      </c>
      <c r="V329" s="36">
        <f>IF(AG329="2",H329,0)</f>
        <v>0</v>
      </c>
      <c r="W329" s="36">
        <f>IF(AG329="2",I329,0)</f>
        <v>0</v>
      </c>
      <c r="X329" s="36">
        <f>IF(AG329="0",J329,0)</f>
        <v>0</v>
      </c>
      <c r="Y329" s="29"/>
      <c r="Z329" s="20">
        <f>IF(AD329=0,J329,0)</f>
        <v>0</v>
      </c>
      <c r="AA329" s="20">
        <f>IF(AD329=15,J329,0)</f>
        <v>0</v>
      </c>
      <c r="AB329" s="20">
        <f>IF(AD329=21,J329,0)</f>
        <v>0</v>
      </c>
      <c r="AD329" s="36">
        <v>21</v>
      </c>
      <c r="AE329" s="36">
        <f>G329*0.489272030651341</f>
        <v>0</v>
      </c>
      <c r="AF329" s="36">
        <f>G329*(1-0.489272030651341)</f>
        <v>0</v>
      </c>
      <c r="AG329" s="32" t="s">
        <v>13</v>
      </c>
      <c r="AM329" s="36">
        <f>F329*AE329</f>
        <v>0</v>
      </c>
      <c r="AN329" s="36">
        <f>F329*AF329</f>
        <v>0</v>
      </c>
      <c r="AO329" s="37" t="s">
        <v>1076</v>
      </c>
      <c r="AP329" s="37" t="s">
        <v>1097</v>
      </c>
      <c r="AQ329" s="29" t="s">
        <v>1101</v>
      </c>
      <c r="AS329" s="36">
        <f>AM329+AN329</f>
        <v>0</v>
      </c>
      <c r="AT329" s="36">
        <f>G329/(100-AU329)*100</f>
        <v>0</v>
      </c>
      <c r="AU329" s="36">
        <v>0</v>
      </c>
      <c r="AV329" s="36">
        <f>L329</f>
        <v>0.0008</v>
      </c>
    </row>
    <row r="330" spans="3:13" ht="12.75">
      <c r="C330" s="14" t="s">
        <v>255</v>
      </c>
      <c r="D330" s="91" t="s">
        <v>824</v>
      </c>
      <c r="E330" s="92"/>
      <c r="F330" s="92"/>
      <c r="G330" s="92"/>
      <c r="H330" s="92"/>
      <c r="I330" s="92"/>
      <c r="J330" s="92"/>
      <c r="K330" s="92"/>
      <c r="L330" s="92"/>
      <c r="M330" s="92"/>
    </row>
    <row r="331" spans="1:48" ht="12.75">
      <c r="A331" s="6" t="s">
        <v>154</v>
      </c>
      <c r="B331" s="6"/>
      <c r="C331" s="6" t="s">
        <v>407</v>
      </c>
      <c r="D331" s="6" t="s">
        <v>825</v>
      </c>
      <c r="E331" s="6" t="s">
        <v>1018</v>
      </c>
      <c r="F331" s="22">
        <v>8</v>
      </c>
      <c r="G331" s="22">
        <v>0</v>
      </c>
      <c r="H331" s="22">
        <f aca="true" t="shared" si="40" ref="H331:H343">F331*AE331</f>
        <v>0</v>
      </c>
      <c r="I331" s="22">
        <f aca="true" t="shared" si="41" ref="I331:I343">J331-H331</f>
        <v>0</v>
      </c>
      <c r="J331" s="22">
        <f aca="true" t="shared" si="42" ref="J331:J343">F331*G331</f>
        <v>0</v>
      </c>
      <c r="K331" s="22">
        <v>0.001</v>
      </c>
      <c r="L331" s="22">
        <f aca="true" t="shared" si="43" ref="L331:L343">F331*K331</f>
        <v>0.008</v>
      </c>
      <c r="M331" s="33" t="s">
        <v>1040</v>
      </c>
      <c r="P331" s="36">
        <f aca="true" t="shared" si="44" ref="P331:P343">IF(AG331="5",J331,0)</f>
        <v>0</v>
      </c>
      <c r="R331" s="36">
        <f aca="true" t="shared" si="45" ref="R331:R343">IF(AG331="1",H331,0)</f>
        <v>0</v>
      </c>
      <c r="S331" s="36">
        <f aca="true" t="shared" si="46" ref="S331:S343">IF(AG331="1",I331,0)</f>
        <v>0</v>
      </c>
      <c r="T331" s="36">
        <f aca="true" t="shared" si="47" ref="T331:T343">IF(AG331="7",H331,0)</f>
        <v>0</v>
      </c>
      <c r="U331" s="36">
        <f aca="true" t="shared" si="48" ref="U331:U343">IF(AG331="7",I331,0)</f>
        <v>0</v>
      </c>
      <c r="V331" s="36">
        <f aca="true" t="shared" si="49" ref="V331:V343">IF(AG331="2",H331,0)</f>
        <v>0</v>
      </c>
      <c r="W331" s="36">
        <f aca="true" t="shared" si="50" ref="W331:W343">IF(AG331="2",I331,0)</f>
        <v>0</v>
      </c>
      <c r="X331" s="36">
        <f aca="true" t="shared" si="51" ref="X331:X343">IF(AG331="0",J331,0)</f>
        <v>0</v>
      </c>
      <c r="Y331" s="29"/>
      <c r="Z331" s="22">
        <f aca="true" t="shared" si="52" ref="Z331:Z343">IF(AD331=0,J331,0)</f>
        <v>0</v>
      </c>
      <c r="AA331" s="22">
        <f aca="true" t="shared" si="53" ref="AA331:AA343">IF(AD331=15,J331,0)</f>
        <v>0</v>
      </c>
      <c r="AB331" s="22">
        <f aca="true" t="shared" si="54" ref="AB331:AB343">IF(AD331=21,J331,0)</f>
        <v>0</v>
      </c>
      <c r="AD331" s="36">
        <v>21</v>
      </c>
      <c r="AE331" s="36">
        <f>G331*1</f>
        <v>0</v>
      </c>
      <c r="AF331" s="36">
        <f>G331*(1-1)</f>
        <v>0</v>
      </c>
      <c r="AG331" s="33" t="s">
        <v>13</v>
      </c>
      <c r="AM331" s="36">
        <f aca="true" t="shared" si="55" ref="AM331:AM343">F331*AE331</f>
        <v>0</v>
      </c>
      <c r="AN331" s="36">
        <f aca="true" t="shared" si="56" ref="AN331:AN343">F331*AF331</f>
        <v>0</v>
      </c>
      <c r="AO331" s="37" t="s">
        <v>1076</v>
      </c>
      <c r="AP331" s="37" t="s">
        <v>1097</v>
      </c>
      <c r="AQ331" s="29" t="s">
        <v>1101</v>
      </c>
      <c r="AS331" s="36">
        <f aca="true" t="shared" si="57" ref="AS331:AS343">AM331+AN331</f>
        <v>0</v>
      </c>
      <c r="AT331" s="36">
        <f aca="true" t="shared" si="58" ref="AT331:AT343">G331/(100-AU331)*100</f>
        <v>0</v>
      </c>
      <c r="AU331" s="36">
        <v>0</v>
      </c>
      <c r="AV331" s="36">
        <f aca="true" t="shared" si="59" ref="AV331:AV343">L331</f>
        <v>0.008</v>
      </c>
    </row>
    <row r="332" spans="1:48" ht="12.75">
      <c r="A332" s="6" t="s">
        <v>155</v>
      </c>
      <c r="B332" s="6"/>
      <c r="C332" s="6" t="s">
        <v>408</v>
      </c>
      <c r="D332" s="6" t="s">
        <v>826</v>
      </c>
      <c r="E332" s="6" t="s">
        <v>1018</v>
      </c>
      <c r="F332" s="22">
        <v>12</v>
      </c>
      <c r="G332" s="22">
        <v>0</v>
      </c>
      <c r="H332" s="22">
        <f t="shared" si="40"/>
        <v>0</v>
      </c>
      <c r="I332" s="22">
        <f t="shared" si="41"/>
        <v>0</v>
      </c>
      <c r="J332" s="22">
        <f t="shared" si="42"/>
        <v>0</v>
      </c>
      <c r="K332" s="22">
        <v>0.00039</v>
      </c>
      <c r="L332" s="22">
        <f t="shared" si="43"/>
        <v>0.00468</v>
      </c>
      <c r="M332" s="33" t="s">
        <v>1040</v>
      </c>
      <c r="P332" s="36">
        <f t="shared" si="44"/>
        <v>0</v>
      </c>
      <c r="R332" s="36">
        <f t="shared" si="45"/>
        <v>0</v>
      </c>
      <c r="S332" s="36">
        <f t="shared" si="46"/>
        <v>0</v>
      </c>
      <c r="T332" s="36">
        <f t="shared" si="47"/>
        <v>0</v>
      </c>
      <c r="U332" s="36">
        <f t="shared" si="48"/>
        <v>0</v>
      </c>
      <c r="V332" s="36">
        <f t="shared" si="49"/>
        <v>0</v>
      </c>
      <c r="W332" s="36">
        <f t="shared" si="50"/>
        <v>0</v>
      </c>
      <c r="X332" s="36">
        <f t="shared" si="51"/>
        <v>0</v>
      </c>
      <c r="Y332" s="29"/>
      <c r="Z332" s="22">
        <f t="shared" si="52"/>
        <v>0</v>
      </c>
      <c r="AA332" s="22">
        <f t="shared" si="53"/>
        <v>0</v>
      </c>
      <c r="AB332" s="22">
        <f t="shared" si="54"/>
        <v>0</v>
      </c>
      <c r="AD332" s="36">
        <v>21</v>
      </c>
      <c r="AE332" s="36">
        <f>G332*1</f>
        <v>0</v>
      </c>
      <c r="AF332" s="36">
        <f>G332*(1-1)</f>
        <v>0</v>
      </c>
      <c r="AG332" s="33" t="s">
        <v>13</v>
      </c>
      <c r="AM332" s="36">
        <f t="shared" si="55"/>
        <v>0</v>
      </c>
      <c r="AN332" s="36">
        <f t="shared" si="56"/>
        <v>0</v>
      </c>
      <c r="AO332" s="37" t="s">
        <v>1076</v>
      </c>
      <c r="AP332" s="37" t="s">
        <v>1097</v>
      </c>
      <c r="AQ332" s="29" t="s">
        <v>1101</v>
      </c>
      <c r="AS332" s="36">
        <f t="shared" si="57"/>
        <v>0</v>
      </c>
      <c r="AT332" s="36">
        <f t="shared" si="58"/>
        <v>0</v>
      </c>
      <c r="AU332" s="36">
        <v>0</v>
      </c>
      <c r="AV332" s="36">
        <f t="shared" si="59"/>
        <v>0.00468</v>
      </c>
    </row>
    <row r="333" spans="1:48" ht="12.75">
      <c r="A333" s="6" t="s">
        <v>156</v>
      </c>
      <c r="B333" s="6"/>
      <c r="C333" s="6" t="s">
        <v>409</v>
      </c>
      <c r="D333" s="6" t="s">
        <v>827</v>
      </c>
      <c r="E333" s="6" t="s">
        <v>1018</v>
      </c>
      <c r="F333" s="22">
        <v>8</v>
      </c>
      <c r="G333" s="22">
        <v>0</v>
      </c>
      <c r="H333" s="22">
        <f t="shared" si="40"/>
        <v>0</v>
      </c>
      <c r="I333" s="22">
        <f t="shared" si="41"/>
        <v>0</v>
      </c>
      <c r="J333" s="22">
        <f t="shared" si="42"/>
        <v>0</v>
      </c>
      <c r="K333" s="22">
        <v>0.0005</v>
      </c>
      <c r="L333" s="22">
        <f t="shared" si="43"/>
        <v>0.004</v>
      </c>
      <c r="M333" s="33" t="s">
        <v>1040</v>
      </c>
      <c r="P333" s="36">
        <f t="shared" si="44"/>
        <v>0</v>
      </c>
      <c r="R333" s="36">
        <f t="shared" si="45"/>
        <v>0</v>
      </c>
      <c r="S333" s="36">
        <f t="shared" si="46"/>
        <v>0</v>
      </c>
      <c r="T333" s="36">
        <f t="shared" si="47"/>
        <v>0</v>
      </c>
      <c r="U333" s="36">
        <f t="shared" si="48"/>
        <v>0</v>
      </c>
      <c r="V333" s="36">
        <f t="shared" si="49"/>
        <v>0</v>
      </c>
      <c r="W333" s="36">
        <f t="shared" si="50"/>
        <v>0</v>
      </c>
      <c r="X333" s="36">
        <f t="shared" si="51"/>
        <v>0</v>
      </c>
      <c r="Y333" s="29"/>
      <c r="Z333" s="22">
        <f t="shared" si="52"/>
        <v>0</v>
      </c>
      <c r="AA333" s="22">
        <f t="shared" si="53"/>
        <v>0</v>
      </c>
      <c r="AB333" s="22">
        <f t="shared" si="54"/>
        <v>0</v>
      </c>
      <c r="AD333" s="36">
        <v>21</v>
      </c>
      <c r="AE333" s="36">
        <f>G333*1</f>
        <v>0</v>
      </c>
      <c r="AF333" s="36">
        <f>G333*(1-1)</f>
        <v>0</v>
      </c>
      <c r="AG333" s="33" t="s">
        <v>13</v>
      </c>
      <c r="AM333" s="36">
        <f t="shared" si="55"/>
        <v>0</v>
      </c>
      <c r="AN333" s="36">
        <f t="shared" si="56"/>
        <v>0</v>
      </c>
      <c r="AO333" s="37" t="s">
        <v>1076</v>
      </c>
      <c r="AP333" s="37" t="s">
        <v>1097</v>
      </c>
      <c r="AQ333" s="29" t="s">
        <v>1101</v>
      </c>
      <c r="AS333" s="36">
        <f t="shared" si="57"/>
        <v>0</v>
      </c>
      <c r="AT333" s="36">
        <f t="shared" si="58"/>
        <v>0</v>
      </c>
      <c r="AU333" s="36">
        <v>0</v>
      </c>
      <c r="AV333" s="36">
        <f t="shared" si="59"/>
        <v>0.004</v>
      </c>
    </row>
    <row r="334" spans="1:48" ht="12.75">
      <c r="A334" s="6" t="s">
        <v>157</v>
      </c>
      <c r="B334" s="6"/>
      <c r="C334" s="6" t="s">
        <v>410</v>
      </c>
      <c r="D334" s="6" t="s">
        <v>828</v>
      </c>
      <c r="E334" s="6" t="s">
        <v>1018</v>
      </c>
      <c r="F334" s="22">
        <v>4</v>
      </c>
      <c r="G334" s="22">
        <v>0</v>
      </c>
      <c r="H334" s="22">
        <f t="shared" si="40"/>
        <v>0</v>
      </c>
      <c r="I334" s="22">
        <f t="shared" si="41"/>
        <v>0</v>
      </c>
      <c r="J334" s="22">
        <f t="shared" si="42"/>
        <v>0</v>
      </c>
      <c r="K334" s="22">
        <v>0.0002</v>
      </c>
      <c r="L334" s="22">
        <f t="shared" si="43"/>
        <v>0.0008</v>
      </c>
      <c r="M334" s="33" t="s">
        <v>1040</v>
      </c>
      <c r="P334" s="36">
        <f t="shared" si="44"/>
        <v>0</v>
      </c>
      <c r="R334" s="36">
        <f t="shared" si="45"/>
        <v>0</v>
      </c>
      <c r="S334" s="36">
        <f t="shared" si="46"/>
        <v>0</v>
      </c>
      <c r="T334" s="36">
        <f t="shared" si="47"/>
        <v>0</v>
      </c>
      <c r="U334" s="36">
        <f t="shared" si="48"/>
        <v>0</v>
      </c>
      <c r="V334" s="36">
        <f t="shared" si="49"/>
        <v>0</v>
      </c>
      <c r="W334" s="36">
        <f t="shared" si="50"/>
        <v>0</v>
      </c>
      <c r="X334" s="36">
        <f t="shared" si="51"/>
        <v>0</v>
      </c>
      <c r="Y334" s="29"/>
      <c r="Z334" s="22">
        <f t="shared" si="52"/>
        <v>0</v>
      </c>
      <c r="AA334" s="22">
        <f t="shared" si="53"/>
        <v>0</v>
      </c>
      <c r="AB334" s="22">
        <f t="shared" si="54"/>
        <v>0</v>
      </c>
      <c r="AD334" s="36">
        <v>21</v>
      </c>
      <c r="AE334" s="36">
        <f>G334*1</f>
        <v>0</v>
      </c>
      <c r="AF334" s="36">
        <f>G334*(1-1)</f>
        <v>0</v>
      </c>
      <c r="AG334" s="33" t="s">
        <v>13</v>
      </c>
      <c r="AM334" s="36">
        <f t="shared" si="55"/>
        <v>0</v>
      </c>
      <c r="AN334" s="36">
        <f t="shared" si="56"/>
        <v>0</v>
      </c>
      <c r="AO334" s="37" t="s">
        <v>1076</v>
      </c>
      <c r="AP334" s="37" t="s">
        <v>1097</v>
      </c>
      <c r="AQ334" s="29" t="s">
        <v>1101</v>
      </c>
      <c r="AS334" s="36">
        <f t="shared" si="57"/>
        <v>0</v>
      </c>
      <c r="AT334" s="36">
        <f t="shared" si="58"/>
        <v>0</v>
      </c>
      <c r="AU334" s="36">
        <v>0</v>
      </c>
      <c r="AV334" s="36">
        <f t="shared" si="59"/>
        <v>0.0008</v>
      </c>
    </row>
    <row r="335" spans="1:48" ht="12.75">
      <c r="A335" s="4" t="s">
        <v>158</v>
      </c>
      <c r="B335" s="4"/>
      <c r="C335" s="4" t="s">
        <v>411</v>
      </c>
      <c r="D335" s="4" t="s">
        <v>829</v>
      </c>
      <c r="E335" s="4" t="s">
        <v>1022</v>
      </c>
      <c r="F335" s="20">
        <v>4</v>
      </c>
      <c r="G335" s="20">
        <v>0</v>
      </c>
      <c r="H335" s="20">
        <f t="shared" si="40"/>
        <v>0</v>
      </c>
      <c r="I335" s="20">
        <f t="shared" si="41"/>
        <v>0</v>
      </c>
      <c r="J335" s="20">
        <f t="shared" si="42"/>
        <v>0</v>
      </c>
      <c r="K335" s="20">
        <v>0.10482</v>
      </c>
      <c r="L335" s="20">
        <f t="shared" si="43"/>
        <v>0.41928</v>
      </c>
      <c r="M335" s="32" t="s">
        <v>1040</v>
      </c>
      <c r="P335" s="36">
        <f t="shared" si="44"/>
        <v>0</v>
      </c>
      <c r="R335" s="36">
        <f t="shared" si="45"/>
        <v>0</v>
      </c>
      <c r="S335" s="36">
        <f t="shared" si="46"/>
        <v>0</v>
      </c>
      <c r="T335" s="36">
        <f t="shared" si="47"/>
        <v>0</v>
      </c>
      <c r="U335" s="36">
        <f t="shared" si="48"/>
        <v>0</v>
      </c>
      <c r="V335" s="36">
        <f t="shared" si="49"/>
        <v>0</v>
      </c>
      <c r="W335" s="36">
        <f t="shared" si="50"/>
        <v>0</v>
      </c>
      <c r="X335" s="36">
        <f t="shared" si="51"/>
        <v>0</v>
      </c>
      <c r="Y335" s="29"/>
      <c r="Z335" s="20">
        <f t="shared" si="52"/>
        <v>0</v>
      </c>
      <c r="AA335" s="20">
        <f t="shared" si="53"/>
        <v>0</v>
      </c>
      <c r="AB335" s="20">
        <f t="shared" si="54"/>
        <v>0</v>
      </c>
      <c r="AD335" s="36">
        <v>21</v>
      </c>
      <c r="AE335" s="36">
        <f>G335*0.910232830820771</f>
        <v>0</v>
      </c>
      <c r="AF335" s="36">
        <f>G335*(1-0.910232830820771)</f>
        <v>0</v>
      </c>
      <c r="AG335" s="32" t="s">
        <v>13</v>
      </c>
      <c r="AM335" s="36">
        <f t="shared" si="55"/>
        <v>0</v>
      </c>
      <c r="AN335" s="36">
        <f t="shared" si="56"/>
        <v>0</v>
      </c>
      <c r="AO335" s="37" t="s">
        <v>1076</v>
      </c>
      <c r="AP335" s="37" t="s">
        <v>1097</v>
      </c>
      <c r="AQ335" s="29" t="s">
        <v>1101</v>
      </c>
      <c r="AS335" s="36">
        <f t="shared" si="57"/>
        <v>0</v>
      </c>
      <c r="AT335" s="36">
        <f t="shared" si="58"/>
        <v>0</v>
      </c>
      <c r="AU335" s="36">
        <v>0</v>
      </c>
      <c r="AV335" s="36">
        <f t="shared" si="59"/>
        <v>0.41928</v>
      </c>
    </row>
    <row r="336" spans="1:48" ht="12.75">
      <c r="A336" s="6" t="s">
        <v>159</v>
      </c>
      <c r="B336" s="6"/>
      <c r="C336" s="6" t="s">
        <v>412</v>
      </c>
      <c r="D336" s="6" t="s">
        <v>830</v>
      </c>
      <c r="E336" s="6" t="s">
        <v>1018</v>
      </c>
      <c r="F336" s="22">
        <v>8</v>
      </c>
      <c r="G336" s="22">
        <v>0</v>
      </c>
      <c r="H336" s="22">
        <f t="shared" si="40"/>
        <v>0</v>
      </c>
      <c r="I336" s="22">
        <f t="shared" si="41"/>
        <v>0</v>
      </c>
      <c r="J336" s="22">
        <f t="shared" si="42"/>
        <v>0</v>
      </c>
      <c r="K336" s="22">
        <v>0.002</v>
      </c>
      <c r="L336" s="22">
        <f t="shared" si="43"/>
        <v>0.016</v>
      </c>
      <c r="M336" s="33" t="s">
        <v>1040</v>
      </c>
      <c r="P336" s="36">
        <f t="shared" si="44"/>
        <v>0</v>
      </c>
      <c r="R336" s="36">
        <f t="shared" si="45"/>
        <v>0</v>
      </c>
      <c r="S336" s="36">
        <f t="shared" si="46"/>
        <v>0</v>
      </c>
      <c r="T336" s="36">
        <f t="shared" si="47"/>
        <v>0</v>
      </c>
      <c r="U336" s="36">
        <f t="shared" si="48"/>
        <v>0</v>
      </c>
      <c r="V336" s="36">
        <f t="shared" si="49"/>
        <v>0</v>
      </c>
      <c r="W336" s="36">
        <f t="shared" si="50"/>
        <v>0</v>
      </c>
      <c r="X336" s="36">
        <f t="shared" si="51"/>
        <v>0</v>
      </c>
      <c r="Y336" s="29"/>
      <c r="Z336" s="22">
        <f t="shared" si="52"/>
        <v>0</v>
      </c>
      <c r="AA336" s="22">
        <f t="shared" si="53"/>
        <v>0</v>
      </c>
      <c r="AB336" s="22">
        <f t="shared" si="54"/>
        <v>0</v>
      </c>
      <c r="AD336" s="36">
        <v>21</v>
      </c>
      <c r="AE336" s="36">
        <f>G336*1</f>
        <v>0</v>
      </c>
      <c r="AF336" s="36">
        <f>G336*(1-1)</f>
        <v>0</v>
      </c>
      <c r="AG336" s="33" t="s">
        <v>13</v>
      </c>
      <c r="AM336" s="36">
        <f t="shared" si="55"/>
        <v>0</v>
      </c>
      <c r="AN336" s="36">
        <f t="shared" si="56"/>
        <v>0</v>
      </c>
      <c r="AO336" s="37" t="s">
        <v>1076</v>
      </c>
      <c r="AP336" s="37" t="s">
        <v>1097</v>
      </c>
      <c r="AQ336" s="29" t="s">
        <v>1101</v>
      </c>
      <c r="AS336" s="36">
        <f t="shared" si="57"/>
        <v>0</v>
      </c>
      <c r="AT336" s="36">
        <f t="shared" si="58"/>
        <v>0</v>
      </c>
      <c r="AU336" s="36">
        <v>0</v>
      </c>
      <c r="AV336" s="36">
        <f t="shared" si="59"/>
        <v>0.016</v>
      </c>
    </row>
    <row r="337" spans="1:48" ht="12.75">
      <c r="A337" s="6" t="s">
        <v>160</v>
      </c>
      <c r="B337" s="6"/>
      <c r="C337" s="6" t="s">
        <v>413</v>
      </c>
      <c r="D337" s="6" t="s">
        <v>831</v>
      </c>
      <c r="E337" s="6" t="s">
        <v>1018</v>
      </c>
      <c r="F337" s="22">
        <v>8</v>
      </c>
      <c r="G337" s="22">
        <v>0</v>
      </c>
      <c r="H337" s="22">
        <f t="shared" si="40"/>
        <v>0</v>
      </c>
      <c r="I337" s="22">
        <f t="shared" si="41"/>
        <v>0</v>
      </c>
      <c r="J337" s="22">
        <f t="shared" si="42"/>
        <v>0</v>
      </c>
      <c r="K337" s="22">
        <v>0</v>
      </c>
      <c r="L337" s="22">
        <f t="shared" si="43"/>
        <v>0</v>
      </c>
      <c r="M337" s="33"/>
      <c r="P337" s="36">
        <f t="shared" si="44"/>
        <v>0</v>
      </c>
      <c r="R337" s="36">
        <f t="shared" si="45"/>
        <v>0</v>
      </c>
      <c r="S337" s="36">
        <f t="shared" si="46"/>
        <v>0</v>
      </c>
      <c r="T337" s="36">
        <f t="shared" si="47"/>
        <v>0</v>
      </c>
      <c r="U337" s="36">
        <f t="shared" si="48"/>
        <v>0</v>
      </c>
      <c r="V337" s="36">
        <f t="shared" si="49"/>
        <v>0</v>
      </c>
      <c r="W337" s="36">
        <f t="shared" si="50"/>
        <v>0</v>
      </c>
      <c r="X337" s="36">
        <f t="shared" si="51"/>
        <v>0</v>
      </c>
      <c r="Y337" s="29"/>
      <c r="Z337" s="22">
        <f t="shared" si="52"/>
        <v>0</v>
      </c>
      <c r="AA337" s="22">
        <f t="shared" si="53"/>
        <v>0</v>
      </c>
      <c r="AB337" s="22">
        <f t="shared" si="54"/>
        <v>0</v>
      </c>
      <c r="AD337" s="36">
        <v>21</v>
      </c>
      <c r="AE337" s="36">
        <f>G337*1</f>
        <v>0</v>
      </c>
      <c r="AF337" s="36">
        <f>G337*(1-1)</f>
        <v>0</v>
      </c>
      <c r="AG337" s="33" t="s">
        <v>13</v>
      </c>
      <c r="AM337" s="36">
        <f t="shared" si="55"/>
        <v>0</v>
      </c>
      <c r="AN337" s="36">
        <f t="shared" si="56"/>
        <v>0</v>
      </c>
      <c r="AO337" s="37" t="s">
        <v>1076</v>
      </c>
      <c r="AP337" s="37" t="s">
        <v>1097</v>
      </c>
      <c r="AQ337" s="29" t="s">
        <v>1101</v>
      </c>
      <c r="AS337" s="36">
        <f t="shared" si="57"/>
        <v>0</v>
      </c>
      <c r="AT337" s="36">
        <f t="shared" si="58"/>
        <v>0</v>
      </c>
      <c r="AU337" s="36">
        <v>0</v>
      </c>
      <c r="AV337" s="36">
        <f t="shared" si="59"/>
        <v>0</v>
      </c>
    </row>
    <row r="338" spans="1:48" ht="12.75">
      <c r="A338" s="6" t="s">
        <v>161</v>
      </c>
      <c r="B338" s="6"/>
      <c r="C338" s="6" t="s">
        <v>414</v>
      </c>
      <c r="D338" s="6" t="s">
        <v>832</v>
      </c>
      <c r="E338" s="6" t="s">
        <v>1018</v>
      </c>
      <c r="F338" s="22">
        <v>4</v>
      </c>
      <c r="G338" s="22">
        <v>0</v>
      </c>
      <c r="H338" s="22">
        <f t="shared" si="40"/>
        <v>0</v>
      </c>
      <c r="I338" s="22">
        <f t="shared" si="41"/>
        <v>0</v>
      </c>
      <c r="J338" s="22">
        <f t="shared" si="42"/>
        <v>0</v>
      </c>
      <c r="K338" s="22">
        <v>0.0001</v>
      </c>
      <c r="L338" s="22">
        <f t="shared" si="43"/>
        <v>0.0004</v>
      </c>
      <c r="M338" s="33" t="s">
        <v>1040</v>
      </c>
      <c r="P338" s="36">
        <f t="shared" si="44"/>
        <v>0</v>
      </c>
      <c r="R338" s="36">
        <f t="shared" si="45"/>
        <v>0</v>
      </c>
      <c r="S338" s="36">
        <f t="shared" si="46"/>
        <v>0</v>
      </c>
      <c r="T338" s="36">
        <f t="shared" si="47"/>
        <v>0</v>
      </c>
      <c r="U338" s="36">
        <f t="shared" si="48"/>
        <v>0</v>
      </c>
      <c r="V338" s="36">
        <f t="shared" si="49"/>
        <v>0</v>
      </c>
      <c r="W338" s="36">
        <f t="shared" si="50"/>
        <v>0</v>
      </c>
      <c r="X338" s="36">
        <f t="shared" si="51"/>
        <v>0</v>
      </c>
      <c r="Y338" s="29"/>
      <c r="Z338" s="22">
        <f t="shared" si="52"/>
        <v>0</v>
      </c>
      <c r="AA338" s="22">
        <f t="shared" si="53"/>
        <v>0</v>
      </c>
      <c r="AB338" s="22">
        <f t="shared" si="54"/>
        <v>0</v>
      </c>
      <c r="AD338" s="36">
        <v>21</v>
      </c>
      <c r="AE338" s="36">
        <f>G338*1</f>
        <v>0</v>
      </c>
      <c r="AF338" s="36">
        <f>G338*(1-1)</f>
        <v>0</v>
      </c>
      <c r="AG338" s="33" t="s">
        <v>13</v>
      </c>
      <c r="AM338" s="36">
        <f t="shared" si="55"/>
        <v>0</v>
      </c>
      <c r="AN338" s="36">
        <f t="shared" si="56"/>
        <v>0</v>
      </c>
      <c r="AO338" s="37" t="s">
        <v>1076</v>
      </c>
      <c r="AP338" s="37" t="s">
        <v>1097</v>
      </c>
      <c r="AQ338" s="29" t="s">
        <v>1101</v>
      </c>
      <c r="AS338" s="36">
        <f t="shared" si="57"/>
        <v>0</v>
      </c>
      <c r="AT338" s="36">
        <f t="shared" si="58"/>
        <v>0</v>
      </c>
      <c r="AU338" s="36">
        <v>0</v>
      </c>
      <c r="AV338" s="36">
        <f t="shared" si="59"/>
        <v>0.0004</v>
      </c>
    </row>
    <row r="339" spans="1:48" ht="12.75">
      <c r="A339" s="4" t="s">
        <v>162</v>
      </c>
      <c r="B339" s="4"/>
      <c r="C339" s="4" t="s">
        <v>415</v>
      </c>
      <c r="D339" s="4" t="s">
        <v>833</v>
      </c>
      <c r="E339" s="4" t="s">
        <v>1018</v>
      </c>
      <c r="F339" s="20">
        <v>1</v>
      </c>
      <c r="G339" s="20">
        <v>0</v>
      </c>
      <c r="H339" s="20">
        <f t="shared" si="40"/>
        <v>0</v>
      </c>
      <c r="I339" s="20">
        <f t="shared" si="41"/>
        <v>0</v>
      </c>
      <c r="J339" s="20">
        <f t="shared" si="42"/>
        <v>0</v>
      </c>
      <c r="K339" s="20">
        <v>0.0005</v>
      </c>
      <c r="L339" s="20">
        <f t="shared" si="43"/>
        <v>0.0005</v>
      </c>
      <c r="M339" s="32" t="s">
        <v>1040</v>
      </c>
      <c r="P339" s="36">
        <f t="shared" si="44"/>
        <v>0</v>
      </c>
      <c r="R339" s="36">
        <f t="shared" si="45"/>
        <v>0</v>
      </c>
      <c r="S339" s="36">
        <f t="shared" si="46"/>
        <v>0</v>
      </c>
      <c r="T339" s="36">
        <f t="shared" si="47"/>
        <v>0</v>
      </c>
      <c r="U339" s="36">
        <f t="shared" si="48"/>
        <v>0</v>
      </c>
      <c r="V339" s="36">
        <f t="shared" si="49"/>
        <v>0</v>
      </c>
      <c r="W339" s="36">
        <f t="shared" si="50"/>
        <v>0</v>
      </c>
      <c r="X339" s="36">
        <f t="shared" si="51"/>
        <v>0</v>
      </c>
      <c r="Y339" s="29"/>
      <c r="Z339" s="20">
        <f t="shared" si="52"/>
        <v>0</v>
      </c>
      <c r="AA339" s="20">
        <f t="shared" si="53"/>
        <v>0</v>
      </c>
      <c r="AB339" s="20">
        <f t="shared" si="54"/>
        <v>0</v>
      </c>
      <c r="AD339" s="36">
        <v>21</v>
      </c>
      <c r="AE339" s="36">
        <f>G339*0.328463476070529</f>
        <v>0</v>
      </c>
      <c r="AF339" s="36">
        <f>G339*(1-0.328463476070529)</f>
        <v>0</v>
      </c>
      <c r="AG339" s="32" t="s">
        <v>13</v>
      </c>
      <c r="AM339" s="36">
        <f t="shared" si="55"/>
        <v>0</v>
      </c>
      <c r="AN339" s="36">
        <f t="shared" si="56"/>
        <v>0</v>
      </c>
      <c r="AO339" s="37" t="s">
        <v>1076</v>
      </c>
      <c r="AP339" s="37" t="s">
        <v>1097</v>
      </c>
      <c r="AQ339" s="29" t="s">
        <v>1101</v>
      </c>
      <c r="AS339" s="36">
        <f t="shared" si="57"/>
        <v>0</v>
      </c>
      <c r="AT339" s="36">
        <f t="shared" si="58"/>
        <v>0</v>
      </c>
      <c r="AU339" s="36">
        <v>0</v>
      </c>
      <c r="AV339" s="36">
        <f t="shared" si="59"/>
        <v>0.0005</v>
      </c>
    </row>
    <row r="340" spans="1:48" ht="12.75">
      <c r="A340" s="4" t="s">
        <v>163</v>
      </c>
      <c r="B340" s="4"/>
      <c r="C340" s="4" t="s">
        <v>416</v>
      </c>
      <c r="D340" s="4" t="s">
        <v>834</v>
      </c>
      <c r="E340" s="4" t="s">
        <v>1022</v>
      </c>
      <c r="F340" s="20">
        <v>4</v>
      </c>
      <c r="G340" s="20">
        <v>0</v>
      </c>
      <c r="H340" s="20">
        <f t="shared" si="40"/>
        <v>0</v>
      </c>
      <c r="I340" s="20">
        <f t="shared" si="41"/>
        <v>0</v>
      </c>
      <c r="J340" s="20">
        <f t="shared" si="42"/>
        <v>0</v>
      </c>
      <c r="K340" s="20">
        <v>0.007</v>
      </c>
      <c r="L340" s="20">
        <f t="shared" si="43"/>
        <v>0.028</v>
      </c>
      <c r="M340" s="32" t="s">
        <v>1040</v>
      </c>
      <c r="P340" s="36">
        <f t="shared" si="44"/>
        <v>0</v>
      </c>
      <c r="R340" s="36">
        <f t="shared" si="45"/>
        <v>0</v>
      </c>
      <c r="S340" s="36">
        <f t="shared" si="46"/>
        <v>0</v>
      </c>
      <c r="T340" s="36">
        <f t="shared" si="47"/>
        <v>0</v>
      </c>
      <c r="U340" s="36">
        <f t="shared" si="48"/>
        <v>0</v>
      </c>
      <c r="V340" s="36">
        <f t="shared" si="49"/>
        <v>0</v>
      </c>
      <c r="W340" s="36">
        <f t="shared" si="50"/>
        <v>0</v>
      </c>
      <c r="X340" s="36">
        <f t="shared" si="51"/>
        <v>0</v>
      </c>
      <c r="Y340" s="29"/>
      <c r="Z340" s="20">
        <f t="shared" si="52"/>
        <v>0</v>
      </c>
      <c r="AA340" s="20">
        <f t="shared" si="53"/>
        <v>0</v>
      </c>
      <c r="AB340" s="20">
        <f t="shared" si="54"/>
        <v>0</v>
      </c>
      <c r="AD340" s="36">
        <v>21</v>
      </c>
      <c r="AE340" s="36">
        <f>G340*0.661664277290094</f>
        <v>0</v>
      </c>
      <c r="AF340" s="36">
        <f>G340*(1-0.661664277290094)</f>
        <v>0</v>
      </c>
      <c r="AG340" s="32" t="s">
        <v>13</v>
      </c>
      <c r="AM340" s="36">
        <f t="shared" si="55"/>
        <v>0</v>
      </c>
      <c r="AN340" s="36">
        <f t="shared" si="56"/>
        <v>0</v>
      </c>
      <c r="AO340" s="37" t="s">
        <v>1076</v>
      </c>
      <c r="AP340" s="37" t="s">
        <v>1097</v>
      </c>
      <c r="AQ340" s="29" t="s">
        <v>1101</v>
      </c>
      <c r="AS340" s="36">
        <f t="shared" si="57"/>
        <v>0</v>
      </c>
      <c r="AT340" s="36">
        <f t="shared" si="58"/>
        <v>0</v>
      </c>
      <c r="AU340" s="36">
        <v>0</v>
      </c>
      <c r="AV340" s="36">
        <f t="shared" si="59"/>
        <v>0.028</v>
      </c>
    </row>
    <row r="341" spans="1:48" ht="12.75">
      <c r="A341" s="6" t="s">
        <v>164</v>
      </c>
      <c r="B341" s="6"/>
      <c r="C341" s="6" t="s">
        <v>417</v>
      </c>
      <c r="D341" s="6" t="s">
        <v>835</v>
      </c>
      <c r="E341" s="6" t="s">
        <v>1018</v>
      </c>
      <c r="F341" s="22">
        <v>4</v>
      </c>
      <c r="G341" s="22">
        <v>0</v>
      </c>
      <c r="H341" s="22">
        <f t="shared" si="40"/>
        <v>0</v>
      </c>
      <c r="I341" s="22">
        <f t="shared" si="41"/>
        <v>0</v>
      </c>
      <c r="J341" s="22">
        <f t="shared" si="42"/>
        <v>0</v>
      </c>
      <c r="K341" s="22">
        <v>0.0025</v>
      </c>
      <c r="L341" s="22">
        <f t="shared" si="43"/>
        <v>0.01</v>
      </c>
      <c r="M341" s="33" t="s">
        <v>1040</v>
      </c>
      <c r="P341" s="36">
        <f t="shared" si="44"/>
        <v>0</v>
      </c>
      <c r="R341" s="36">
        <f t="shared" si="45"/>
        <v>0</v>
      </c>
      <c r="S341" s="36">
        <f t="shared" si="46"/>
        <v>0</v>
      </c>
      <c r="T341" s="36">
        <f t="shared" si="47"/>
        <v>0</v>
      </c>
      <c r="U341" s="36">
        <f t="shared" si="48"/>
        <v>0</v>
      </c>
      <c r="V341" s="36">
        <f t="shared" si="49"/>
        <v>0</v>
      </c>
      <c r="W341" s="36">
        <f t="shared" si="50"/>
        <v>0</v>
      </c>
      <c r="X341" s="36">
        <f t="shared" si="51"/>
        <v>0</v>
      </c>
      <c r="Y341" s="29"/>
      <c r="Z341" s="22">
        <f t="shared" si="52"/>
        <v>0</v>
      </c>
      <c r="AA341" s="22">
        <f t="shared" si="53"/>
        <v>0</v>
      </c>
      <c r="AB341" s="22">
        <f t="shared" si="54"/>
        <v>0</v>
      </c>
      <c r="AD341" s="36">
        <v>21</v>
      </c>
      <c r="AE341" s="36">
        <f>G341*1</f>
        <v>0</v>
      </c>
      <c r="AF341" s="36">
        <f>G341*(1-1)</f>
        <v>0</v>
      </c>
      <c r="AG341" s="33" t="s">
        <v>13</v>
      </c>
      <c r="AM341" s="36">
        <f t="shared" si="55"/>
        <v>0</v>
      </c>
      <c r="AN341" s="36">
        <f t="shared" si="56"/>
        <v>0</v>
      </c>
      <c r="AO341" s="37" t="s">
        <v>1076</v>
      </c>
      <c r="AP341" s="37" t="s">
        <v>1097</v>
      </c>
      <c r="AQ341" s="29" t="s">
        <v>1101</v>
      </c>
      <c r="AS341" s="36">
        <f t="shared" si="57"/>
        <v>0</v>
      </c>
      <c r="AT341" s="36">
        <f t="shared" si="58"/>
        <v>0</v>
      </c>
      <c r="AU341" s="36">
        <v>0</v>
      </c>
      <c r="AV341" s="36">
        <f t="shared" si="59"/>
        <v>0.01</v>
      </c>
    </row>
    <row r="342" spans="1:48" ht="12.75">
      <c r="A342" s="4" t="s">
        <v>165</v>
      </c>
      <c r="B342" s="4"/>
      <c r="C342" s="4" t="s">
        <v>418</v>
      </c>
      <c r="D342" s="4" t="s">
        <v>836</v>
      </c>
      <c r="E342" s="4" t="s">
        <v>1022</v>
      </c>
      <c r="F342" s="20">
        <v>4</v>
      </c>
      <c r="G342" s="20">
        <v>0</v>
      </c>
      <c r="H342" s="20">
        <f t="shared" si="40"/>
        <v>0</v>
      </c>
      <c r="I342" s="20">
        <f t="shared" si="41"/>
        <v>0</v>
      </c>
      <c r="J342" s="20">
        <f t="shared" si="42"/>
        <v>0</v>
      </c>
      <c r="K342" s="20">
        <v>0.005</v>
      </c>
      <c r="L342" s="20">
        <f t="shared" si="43"/>
        <v>0.02</v>
      </c>
      <c r="M342" s="32"/>
      <c r="P342" s="36">
        <f t="shared" si="44"/>
        <v>0</v>
      </c>
      <c r="R342" s="36">
        <f t="shared" si="45"/>
        <v>0</v>
      </c>
      <c r="S342" s="36">
        <f t="shared" si="46"/>
        <v>0</v>
      </c>
      <c r="T342" s="36">
        <f t="shared" si="47"/>
        <v>0</v>
      </c>
      <c r="U342" s="36">
        <f t="shared" si="48"/>
        <v>0</v>
      </c>
      <c r="V342" s="36">
        <f t="shared" si="49"/>
        <v>0</v>
      </c>
      <c r="W342" s="36">
        <f t="shared" si="50"/>
        <v>0</v>
      </c>
      <c r="X342" s="36">
        <f t="shared" si="51"/>
        <v>0</v>
      </c>
      <c r="Y342" s="29"/>
      <c r="Z342" s="20">
        <f t="shared" si="52"/>
        <v>0</v>
      </c>
      <c r="AA342" s="20">
        <f t="shared" si="53"/>
        <v>0</v>
      </c>
      <c r="AB342" s="20">
        <f t="shared" si="54"/>
        <v>0</v>
      </c>
      <c r="AD342" s="36">
        <v>21</v>
      </c>
      <c r="AE342" s="36">
        <f>G342*1</f>
        <v>0</v>
      </c>
      <c r="AF342" s="36">
        <f>G342*(1-1)</f>
        <v>0</v>
      </c>
      <c r="AG342" s="32" t="s">
        <v>13</v>
      </c>
      <c r="AM342" s="36">
        <f t="shared" si="55"/>
        <v>0</v>
      </c>
      <c r="AN342" s="36">
        <f t="shared" si="56"/>
        <v>0</v>
      </c>
      <c r="AO342" s="37" t="s">
        <v>1076</v>
      </c>
      <c r="AP342" s="37" t="s">
        <v>1097</v>
      </c>
      <c r="AQ342" s="29" t="s">
        <v>1101</v>
      </c>
      <c r="AS342" s="36">
        <f t="shared" si="57"/>
        <v>0</v>
      </c>
      <c r="AT342" s="36">
        <f t="shared" si="58"/>
        <v>0</v>
      </c>
      <c r="AU342" s="36">
        <v>0</v>
      </c>
      <c r="AV342" s="36">
        <f t="shared" si="59"/>
        <v>0.02</v>
      </c>
    </row>
    <row r="343" spans="1:48" ht="12.75">
      <c r="A343" s="4" t="s">
        <v>166</v>
      </c>
      <c r="B343" s="4"/>
      <c r="C343" s="4" t="s">
        <v>419</v>
      </c>
      <c r="D343" s="4" t="s">
        <v>837</v>
      </c>
      <c r="E343" s="4" t="s">
        <v>1022</v>
      </c>
      <c r="F343" s="20">
        <v>8</v>
      </c>
      <c r="G343" s="20">
        <v>0</v>
      </c>
      <c r="H343" s="20">
        <f t="shared" si="40"/>
        <v>0</v>
      </c>
      <c r="I343" s="20">
        <f t="shared" si="41"/>
        <v>0</v>
      </c>
      <c r="J343" s="20">
        <f t="shared" si="42"/>
        <v>0</v>
      </c>
      <c r="K343" s="20">
        <v>0.008</v>
      </c>
      <c r="L343" s="20">
        <f t="shared" si="43"/>
        <v>0.064</v>
      </c>
      <c r="M343" s="32"/>
      <c r="P343" s="36">
        <f t="shared" si="44"/>
        <v>0</v>
      </c>
      <c r="R343" s="36">
        <f t="shared" si="45"/>
        <v>0</v>
      </c>
      <c r="S343" s="36">
        <f t="shared" si="46"/>
        <v>0</v>
      </c>
      <c r="T343" s="36">
        <f t="shared" si="47"/>
        <v>0</v>
      </c>
      <c r="U343" s="36">
        <f t="shared" si="48"/>
        <v>0</v>
      </c>
      <c r="V343" s="36">
        <f t="shared" si="49"/>
        <v>0</v>
      </c>
      <c r="W343" s="36">
        <f t="shared" si="50"/>
        <v>0</v>
      </c>
      <c r="X343" s="36">
        <f t="shared" si="51"/>
        <v>0</v>
      </c>
      <c r="Y343" s="29"/>
      <c r="Z343" s="20">
        <f t="shared" si="52"/>
        <v>0</v>
      </c>
      <c r="AA343" s="20">
        <f t="shared" si="53"/>
        <v>0</v>
      </c>
      <c r="AB343" s="20">
        <f t="shared" si="54"/>
        <v>0</v>
      </c>
      <c r="AD343" s="36">
        <v>21</v>
      </c>
      <c r="AE343" s="36">
        <f>G343*1</f>
        <v>0</v>
      </c>
      <c r="AF343" s="36">
        <f>G343*(1-1)</f>
        <v>0</v>
      </c>
      <c r="AG343" s="32" t="s">
        <v>13</v>
      </c>
      <c r="AM343" s="36">
        <f t="shared" si="55"/>
        <v>0</v>
      </c>
      <c r="AN343" s="36">
        <f t="shared" si="56"/>
        <v>0</v>
      </c>
      <c r="AO343" s="37" t="s">
        <v>1076</v>
      </c>
      <c r="AP343" s="37" t="s">
        <v>1097</v>
      </c>
      <c r="AQ343" s="29" t="s">
        <v>1101</v>
      </c>
      <c r="AS343" s="36">
        <f t="shared" si="57"/>
        <v>0</v>
      </c>
      <c r="AT343" s="36">
        <f t="shared" si="58"/>
        <v>0</v>
      </c>
      <c r="AU343" s="36">
        <v>0</v>
      </c>
      <c r="AV343" s="36">
        <f t="shared" si="59"/>
        <v>0.064</v>
      </c>
    </row>
    <row r="344" spans="3:13" ht="12.75">
      <c r="C344" s="14" t="s">
        <v>255</v>
      </c>
      <c r="D344" s="91" t="s">
        <v>838</v>
      </c>
      <c r="E344" s="92"/>
      <c r="F344" s="92"/>
      <c r="G344" s="92"/>
      <c r="H344" s="92"/>
      <c r="I344" s="92"/>
      <c r="J344" s="92"/>
      <c r="K344" s="92"/>
      <c r="L344" s="92"/>
      <c r="M344" s="92"/>
    </row>
    <row r="345" spans="1:48" ht="12.75">
      <c r="A345" s="4" t="s">
        <v>167</v>
      </c>
      <c r="B345" s="4"/>
      <c r="C345" s="4" t="s">
        <v>420</v>
      </c>
      <c r="D345" s="4" t="s">
        <v>839</v>
      </c>
      <c r="E345" s="4" t="s">
        <v>1018</v>
      </c>
      <c r="F345" s="20">
        <v>8</v>
      </c>
      <c r="G345" s="20">
        <v>0</v>
      </c>
      <c r="H345" s="20">
        <f>F345*AE345</f>
        <v>0</v>
      </c>
      <c r="I345" s="20">
        <f>J345-H345</f>
        <v>0</v>
      </c>
      <c r="J345" s="20">
        <f>F345*G345</f>
        <v>0</v>
      </c>
      <c r="K345" s="20">
        <v>0.0005</v>
      </c>
      <c r="L345" s="20">
        <f>F345*K345</f>
        <v>0.004</v>
      </c>
      <c r="M345" s="32"/>
      <c r="P345" s="36">
        <f>IF(AG345="5",J345,0)</f>
        <v>0</v>
      </c>
      <c r="R345" s="36">
        <f>IF(AG345="1",H345,0)</f>
        <v>0</v>
      </c>
      <c r="S345" s="36">
        <f>IF(AG345="1",I345,0)</f>
        <v>0</v>
      </c>
      <c r="T345" s="36">
        <f>IF(AG345="7",H345,0)</f>
        <v>0</v>
      </c>
      <c r="U345" s="36">
        <f>IF(AG345="7",I345,0)</f>
        <v>0</v>
      </c>
      <c r="V345" s="36">
        <f>IF(AG345="2",H345,0)</f>
        <v>0</v>
      </c>
      <c r="W345" s="36">
        <f>IF(AG345="2",I345,0)</f>
        <v>0</v>
      </c>
      <c r="X345" s="36">
        <f>IF(AG345="0",J345,0)</f>
        <v>0</v>
      </c>
      <c r="Y345" s="29"/>
      <c r="Z345" s="20">
        <f>IF(AD345=0,J345,0)</f>
        <v>0</v>
      </c>
      <c r="AA345" s="20">
        <f>IF(AD345=15,J345,0)</f>
        <v>0</v>
      </c>
      <c r="AB345" s="20">
        <f>IF(AD345=21,J345,0)</f>
        <v>0</v>
      </c>
      <c r="AD345" s="36">
        <v>21</v>
      </c>
      <c r="AE345" s="36">
        <f>G345*1</f>
        <v>0</v>
      </c>
      <c r="AF345" s="36">
        <f>G345*(1-1)</f>
        <v>0</v>
      </c>
      <c r="AG345" s="32" t="s">
        <v>13</v>
      </c>
      <c r="AM345" s="36">
        <f>F345*AE345</f>
        <v>0</v>
      </c>
      <c r="AN345" s="36">
        <f>F345*AF345</f>
        <v>0</v>
      </c>
      <c r="AO345" s="37" t="s">
        <v>1076</v>
      </c>
      <c r="AP345" s="37" t="s">
        <v>1097</v>
      </c>
      <c r="AQ345" s="29" t="s">
        <v>1101</v>
      </c>
      <c r="AS345" s="36">
        <f>AM345+AN345</f>
        <v>0</v>
      </c>
      <c r="AT345" s="36">
        <f>G345/(100-AU345)*100</f>
        <v>0</v>
      </c>
      <c r="AU345" s="36">
        <v>0</v>
      </c>
      <c r="AV345" s="36">
        <f>L345</f>
        <v>0.004</v>
      </c>
    </row>
    <row r="346" spans="1:48" ht="12.75">
      <c r="A346" s="4" t="s">
        <v>168</v>
      </c>
      <c r="B346" s="4"/>
      <c r="C346" s="4" t="s">
        <v>421</v>
      </c>
      <c r="D346" s="4" t="s">
        <v>840</v>
      </c>
      <c r="E346" s="4" t="s">
        <v>1018</v>
      </c>
      <c r="F346" s="20">
        <v>8</v>
      </c>
      <c r="G346" s="20">
        <v>0</v>
      </c>
      <c r="H346" s="20">
        <f>F346*AE346</f>
        <v>0</v>
      </c>
      <c r="I346" s="20">
        <f>J346-H346</f>
        <v>0</v>
      </c>
      <c r="J346" s="20">
        <f>F346*G346</f>
        <v>0</v>
      </c>
      <c r="K346" s="20">
        <v>0.00152</v>
      </c>
      <c r="L346" s="20">
        <f>F346*K346</f>
        <v>0.01216</v>
      </c>
      <c r="M346" s="32" t="s">
        <v>1040</v>
      </c>
      <c r="P346" s="36">
        <f>IF(AG346="5",J346,0)</f>
        <v>0</v>
      </c>
      <c r="R346" s="36">
        <f>IF(AG346="1",H346,0)</f>
        <v>0</v>
      </c>
      <c r="S346" s="36">
        <f>IF(AG346="1",I346,0)</f>
        <v>0</v>
      </c>
      <c r="T346" s="36">
        <f>IF(AG346="7",H346,0)</f>
        <v>0</v>
      </c>
      <c r="U346" s="36">
        <f>IF(AG346="7",I346,0)</f>
        <v>0</v>
      </c>
      <c r="V346" s="36">
        <f>IF(AG346="2",H346,0)</f>
        <v>0</v>
      </c>
      <c r="W346" s="36">
        <f>IF(AG346="2",I346,0)</f>
        <v>0</v>
      </c>
      <c r="X346" s="36">
        <f>IF(AG346="0",J346,0)</f>
        <v>0</v>
      </c>
      <c r="Y346" s="29"/>
      <c r="Z346" s="20">
        <f>IF(AD346=0,J346,0)</f>
        <v>0</v>
      </c>
      <c r="AA346" s="20">
        <f>IF(AD346=15,J346,0)</f>
        <v>0</v>
      </c>
      <c r="AB346" s="20">
        <f>IF(AD346=21,J346,0)</f>
        <v>0</v>
      </c>
      <c r="AD346" s="36">
        <v>21</v>
      </c>
      <c r="AE346" s="36">
        <f>G346*0.888996792634082</f>
        <v>0</v>
      </c>
      <c r="AF346" s="36">
        <f>G346*(1-0.888996792634082)</f>
        <v>0</v>
      </c>
      <c r="AG346" s="32" t="s">
        <v>13</v>
      </c>
      <c r="AM346" s="36">
        <f>F346*AE346</f>
        <v>0</v>
      </c>
      <c r="AN346" s="36">
        <f>F346*AF346</f>
        <v>0</v>
      </c>
      <c r="AO346" s="37" t="s">
        <v>1076</v>
      </c>
      <c r="AP346" s="37" t="s">
        <v>1097</v>
      </c>
      <c r="AQ346" s="29" t="s">
        <v>1101</v>
      </c>
      <c r="AS346" s="36">
        <f>AM346+AN346</f>
        <v>0</v>
      </c>
      <c r="AT346" s="36">
        <f>G346/(100-AU346)*100</f>
        <v>0</v>
      </c>
      <c r="AU346" s="36">
        <v>0</v>
      </c>
      <c r="AV346" s="36">
        <f>L346</f>
        <v>0.01216</v>
      </c>
    </row>
    <row r="347" spans="1:48" ht="12.75">
      <c r="A347" s="4" t="s">
        <v>169</v>
      </c>
      <c r="B347" s="4"/>
      <c r="C347" s="4" t="s">
        <v>422</v>
      </c>
      <c r="D347" s="4" t="s">
        <v>841</v>
      </c>
      <c r="E347" s="4" t="s">
        <v>1015</v>
      </c>
      <c r="F347" s="20">
        <v>0.89032</v>
      </c>
      <c r="G347" s="20">
        <v>0</v>
      </c>
      <c r="H347" s="20">
        <f>F347*AE347</f>
        <v>0</v>
      </c>
      <c r="I347" s="20">
        <f>J347-H347</f>
        <v>0</v>
      </c>
      <c r="J347" s="20">
        <f>F347*G347</f>
        <v>0</v>
      </c>
      <c r="K347" s="20">
        <v>0</v>
      </c>
      <c r="L347" s="20">
        <f>F347*K347</f>
        <v>0</v>
      </c>
      <c r="M347" s="32" t="s">
        <v>1040</v>
      </c>
      <c r="P347" s="36">
        <f>IF(AG347="5",J347,0)</f>
        <v>0</v>
      </c>
      <c r="R347" s="36">
        <f>IF(AG347="1",H347,0)</f>
        <v>0</v>
      </c>
      <c r="S347" s="36">
        <f>IF(AG347="1",I347,0)</f>
        <v>0</v>
      </c>
      <c r="T347" s="36">
        <f>IF(AG347="7",H347,0)</f>
        <v>0</v>
      </c>
      <c r="U347" s="36">
        <f>IF(AG347="7",I347,0)</f>
        <v>0</v>
      </c>
      <c r="V347" s="36">
        <f>IF(AG347="2",H347,0)</f>
        <v>0</v>
      </c>
      <c r="W347" s="36">
        <f>IF(AG347="2",I347,0)</f>
        <v>0</v>
      </c>
      <c r="X347" s="36">
        <f>IF(AG347="0",J347,0)</f>
        <v>0</v>
      </c>
      <c r="Y347" s="29"/>
      <c r="Z347" s="20">
        <f>IF(AD347=0,J347,0)</f>
        <v>0</v>
      </c>
      <c r="AA347" s="20">
        <f>IF(AD347=15,J347,0)</f>
        <v>0</v>
      </c>
      <c r="AB347" s="20">
        <f>IF(AD347=21,J347,0)</f>
        <v>0</v>
      </c>
      <c r="AD347" s="36">
        <v>21</v>
      </c>
      <c r="AE347" s="36">
        <f>G347*0</f>
        <v>0</v>
      </c>
      <c r="AF347" s="36">
        <f>G347*(1-0)</f>
        <v>0</v>
      </c>
      <c r="AG347" s="32" t="s">
        <v>11</v>
      </c>
      <c r="AM347" s="36">
        <f>F347*AE347</f>
        <v>0</v>
      </c>
      <c r="AN347" s="36">
        <f>F347*AF347</f>
        <v>0</v>
      </c>
      <c r="AO347" s="37" t="s">
        <v>1076</v>
      </c>
      <c r="AP347" s="37" t="s">
        <v>1097</v>
      </c>
      <c r="AQ347" s="29" t="s">
        <v>1101</v>
      </c>
      <c r="AS347" s="36">
        <f>AM347+AN347</f>
        <v>0</v>
      </c>
      <c r="AT347" s="36">
        <f>G347/(100-AU347)*100</f>
        <v>0</v>
      </c>
      <c r="AU347" s="36">
        <v>0</v>
      </c>
      <c r="AV347" s="36">
        <f>L347</f>
        <v>0</v>
      </c>
    </row>
    <row r="348" spans="1:37" ht="12.75">
      <c r="A348" s="5"/>
      <c r="B348" s="13"/>
      <c r="C348" s="13" t="s">
        <v>423</v>
      </c>
      <c r="D348" s="93" t="s">
        <v>842</v>
      </c>
      <c r="E348" s="94"/>
      <c r="F348" s="94"/>
      <c r="G348" s="94"/>
      <c r="H348" s="39">
        <f>SUM(H349:H351)</f>
        <v>0</v>
      </c>
      <c r="I348" s="39">
        <f>SUM(I349:I351)</f>
        <v>0</v>
      </c>
      <c r="J348" s="39">
        <f>H348+I348</f>
        <v>0</v>
      </c>
      <c r="K348" s="29"/>
      <c r="L348" s="39">
        <f>SUM(L349:L351)</f>
        <v>0.036</v>
      </c>
      <c r="M348" s="29"/>
      <c r="Y348" s="29"/>
      <c r="AI348" s="39">
        <f>SUM(Z349:Z351)</f>
        <v>0</v>
      </c>
      <c r="AJ348" s="39">
        <f>SUM(AA349:AA351)</f>
        <v>0</v>
      </c>
      <c r="AK348" s="39">
        <f>SUM(AB349:AB351)</f>
        <v>0</v>
      </c>
    </row>
    <row r="349" spans="1:48" ht="12.75">
      <c r="A349" s="4" t="s">
        <v>170</v>
      </c>
      <c r="B349" s="4"/>
      <c r="C349" s="4" t="s">
        <v>424</v>
      </c>
      <c r="D349" s="4" t="s">
        <v>843</v>
      </c>
      <c r="E349" s="4" t="s">
        <v>1022</v>
      </c>
      <c r="F349" s="20">
        <v>4</v>
      </c>
      <c r="G349" s="20">
        <v>0</v>
      </c>
      <c r="H349" s="20">
        <f>F349*AE349</f>
        <v>0</v>
      </c>
      <c r="I349" s="20">
        <f>J349-H349</f>
        <v>0</v>
      </c>
      <c r="J349" s="20">
        <f>F349*G349</f>
        <v>0</v>
      </c>
      <c r="K349" s="20">
        <v>0.009</v>
      </c>
      <c r="L349" s="20">
        <f>F349*K349</f>
        <v>0.036</v>
      </c>
      <c r="M349" s="32" t="s">
        <v>1040</v>
      </c>
      <c r="P349" s="36">
        <f>IF(AG349="5",J349,0)</f>
        <v>0</v>
      </c>
      <c r="R349" s="36">
        <f>IF(AG349="1",H349,0)</f>
        <v>0</v>
      </c>
      <c r="S349" s="36">
        <f>IF(AG349="1",I349,0)</f>
        <v>0</v>
      </c>
      <c r="T349" s="36">
        <f>IF(AG349="7",H349,0)</f>
        <v>0</v>
      </c>
      <c r="U349" s="36">
        <f>IF(AG349="7",I349,0)</f>
        <v>0</v>
      </c>
      <c r="V349" s="36">
        <f>IF(AG349="2",H349,0)</f>
        <v>0</v>
      </c>
      <c r="W349" s="36">
        <f>IF(AG349="2",I349,0)</f>
        <v>0</v>
      </c>
      <c r="X349" s="36">
        <f>IF(AG349="0",J349,0)</f>
        <v>0</v>
      </c>
      <c r="Y349" s="29"/>
      <c r="Z349" s="20">
        <f>IF(AD349=0,J349,0)</f>
        <v>0</v>
      </c>
      <c r="AA349" s="20">
        <f>IF(AD349=15,J349,0)</f>
        <v>0</v>
      </c>
      <c r="AB349" s="20">
        <f>IF(AD349=21,J349,0)</f>
        <v>0</v>
      </c>
      <c r="AD349" s="36">
        <v>21</v>
      </c>
      <c r="AE349" s="36">
        <f>G349*0.881133531444114</f>
        <v>0</v>
      </c>
      <c r="AF349" s="36">
        <f>G349*(1-0.881133531444114)</f>
        <v>0</v>
      </c>
      <c r="AG349" s="32" t="s">
        <v>13</v>
      </c>
      <c r="AM349" s="36">
        <f>F349*AE349</f>
        <v>0</v>
      </c>
      <c r="AN349" s="36">
        <f>F349*AF349</f>
        <v>0</v>
      </c>
      <c r="AO349" s="37" t="s">
        <v>1077</v>
      </c>
      <c r="AP349" s="37" t="s">
        <v>1097</v>
      </c>
      <c r="AQ349" s="29" t="s">
        <v>1101</v>
      </c>
      <c r="AS349" s="36">
        <f>AM349+AN349</f>
        <v>0</v>
      </c>
      <c r="AT349" s="36">
        <f>G349/(100-AU349)*100</f>
        <v>0</v>
      </c>
      <c r="AU349" s="36">
        <v>0</v>
      </c>
      <c r="AV349" s="36">
        <f>L349</f>
        <v>0.036</v>
      </c>
    </row>
    <row r="350" spans="3:13" ht="12.75">
      <c r="C350" s="14" t="s">
        <v>255</v>
      </c>
      <c r="D350" s="91" t="s">
        <v>844</v>
      </c>
      <c r="E350" s="92"/>
      <c r="F350" s="92"/>
      <c r="G350" s="92"/>
      <c r="H350" s="92"/>
      <c r="I350" s="92"/>
      <c r="J350" s="92"/>
      <c r="K350" s="92"/>
      <c r="L350" s="92"/>
      <c r="M350" s="92"/>
    </row>
    <row r="351" spans="1:48" ht="12.75">
      <c r="A351" s="4" t="s">
        <v>171</v>
      </c>
      <c r="B351" s="4"/>
      <c r="C351" s="4" t="s">
        <v>425</v>
      </c>
      <c r="D351" s="4" t="s">
        <v>845</v>
      </c>
      <c r="E351" s="4" t="s">
        <v>1015</v>
      </c>
      <c r="F351" s="20">
        <v>0.036</v>
      </c>
      <c r="G351" s="20">
        <v>0</v>
      </c>
      <c r="H351" s="20">
        <f>F351*AE351</f>
        <v>0</v>
      </c>
      <c r="I351" s="20">
        <f>J351-H351</f>
        <v>0</v>
      </c>
      <c r="J351" s="20">
        <f>F351*G351</f>
        <v>0</v>
      </c>
      <c r="K351" s="20">
        <v>0</v>
      </c>
      <c r="L351" s="20">
        <f>F351*K351</f>
        <v>0</v>
      </c>
      <c r="M351" s="32" t="s">
        <v>1040</v>
      </c>
      <c r="P351" s="36">
        <f>IF(AG351="5",J351,0)</f>
        <v>0</v>
      </c>
      <c r="R351" s="36">
        <f>IF(AG351="1",H351,0)</f>
        <v>0</v>
      </c>
      <c r="S351" s="36">
        <f>IF(AG351="1",I351,0)</f>
        <v>0</v>
      </c>
      <c r="T351" s="36">
        <f>IF(AG351="7",H351,0)</f>
        <v>0</v>
      </c>
      <c r="U351" s="36">
        <f>IF(AG351="7",I351,0)</f>
        <v>0</v>
      </c>
      <c r="V351" s="36">
        <f>IF(AG351="2",H351,0)</f>
        <v>0</v>
      </c>
      <c r="W351" s="36">
        <f>IF(AG351="2",I351,0)</f>
        <v>0</v>
      </c>
      <c r="X351" s="36">
        <f>IF(AG351="0",J351,0)</f>
        <v>0</v>
      </c>
      <c r="Y351" s="29"/>
      <c r="Z351" s="20">
        <f>IF(AD351=0,J351,0)</f>
        <v>0</v>
      </c>
      <c r="AA351" s="20">
        <f>IF(AD351=15,J351,0)</f>
        <v>0</v>
      </c>
      <c r="AB351" s="20">
        <f>IF(AD351=21,J351,0)</f>
        <v>0</v>
      </c>
      <c r="AD351" s="36">
        <v>21</v>
      </c>
      <c r="AE351" s="36">
        <f>G351*0</f>
        <v>0</v>
      </c>
      <c r="AF351" s="36">
        <f>G351*(1-0)</f>
        <v>0</v>
      </c>
      <c r="AG351" s="32" t="s">
        <v>11</v>
      </c>
      <c r="AM351" s="36">
        <f>F351*AE351</f>
        <v>0</v>
      </c>
      <c r="AN351" s="36">
        <f>F351*AF351</f>
        <v>0</v>
      </c>
      <c r="AO351" s="37" t="s">
        <v>1077</v>
      </c>
      <c r="AP351" s="37" t="s">
        <v>1097</v>
      </c>
      <c r="AQ351" s="29" t="s">
        <v>1101</v>
      </c>
      <c r="AS351" s="36">
        <f>AM351+AN351</f>
        <v>0</v>
      </c>
      <c r="AT351" s="36">
        <f>G351/(100-AU351)*100</f>
        <v>0</v>
      </c>
      <c r="AU351" s="36">
        <v>0</v>
      </c>
      <c r="AV351" s="36">
        <f>L351</f>
        <v>0</v>
      </c>
    </row>
    <row r="352" spans="1:37" ht="12.75">
      <c r="A352" s="5"/>
      <c r="B352" s="13"/>
      <c r="C352" s="13" t="s">
        <v>426</v>
      </c>
      <c r="D352" s="93" t="s">
        <v>846</v>
      </c>
      <c r="E352" s="94"/>
      <c r="F352" s="94"/>
      <c r="G352" s="94"/>
      <c r="H352" s="39">
        <f>SUM(H353:H367)</f>
        <v>0</v>
      </c>
      <c r="I352" s="39">
        <f>SUM(I353:I367)</f>
        <v>0</v>
      </c>
      <c r="J352" s="39">
        <f>H352+I352</f>
        <v>0</v>
      </c>
      <c r="K352" s="29"/>
      <c r="L352" s="39">
        <f>SUM(L353:L367)</f>
        <v>0</v>
      </c>
      <c r="M352" s="29"/>
      <c r="Y352" s="29"/>
      <c r="AI352" s="39">
        <f>SUM(Z353:Z367)</f>
        <v>0</v>
      </c>
      <c r="AJ352" s="39">
        <f>SUM(AA353:AA367)</f>
        <v>0</v>
      </c>
      <c r="AK352" s="39">
        <f>SUM(AB353:AB367)</f>
        <v>0</v>
      </c>
    </row>
    <row r="353" spans="1:48" ht="12.75">
      <c r="A353" s="4" t="s">
        <v>172</v>
      </c>
      <c r="B353" s="4"/>
      <c r="C353" s="4" t="s">
        <v>427</v>
      </c>
      <c r="D353" s="4" t="s">
        <v>847</v>
      </c>
      <c r="E353" s="4" t="s">
        <v>1019</v>
      </c>
      <c r="F353" s="20">
        <v>11.4</v>
      </c>
      <c r="G353" s="20">
        <v>0</v>
      </c>
      <c r="H353" s="20">
        <f>F353*AE353</f>
        <v>0</v>
      </c>
      <c r="I353" s="20">
        <f>J353-H353</f>
        <v>0</v>
      </c>
      <c r="J353" s="20">
        <f>F353*G353</f>
        <v>0</v>
      </c>
      <c r="K353" s="20">
        <v>0</v>
      </c>
      <c r="L353" s="20">
        <f>F353*K353</f>
        <v>0</v>
      </c>
      <c r="M353" s="32" t="s">
        <v>1040</v>
      </c>
      <c r="P353" s="36">
        <f>IF(AG353="5",J353,0)</f>
        <v>0</v>
      </c>
      <c r="R353" s="36">
        <f>IF(AG353="1",H353,0)</f>
        <v>0</v>
      </c>
      <c r="S353" s="36">
        <f>IF(AG353="1",I353,0)</f>
        <v>0</v>
      </c>
      <c r="T353" s="36">
        <f>IF(AG353="7",H353,0)</f>
        <v>0</v>
      </c>
      <c r="U353" s="36">
        <f>IF(AG353="7",I353,0)</f>
        <v>0</v>
      </c>
      <c r="V353" s="36">
        <f>IF(AG353="2",H353,0)</f>
        <v>0</v>
      </c>
      <c r="W353" s="36">
        <f>IF(AG353="2",I353,0)</f>
        <v>0</v>
      </c>
      <c r="X353" s="36">
        <f>IF(AG353="0",J353,0)</f>
        <v>0</v>
      </c>
      <c r="Y353" s="29"/>
      <c r="Z353" s="20">
        <f>IF(AD353=0,J353,0)</f>
        <v>0</v>
      </c>
      <c r="AA353" s="20">
        <f>IF(AD353=15,J353,0)</f>
        <v>0</v>
      </c>
      <c r="AB353" s="20">
        <f>IF(AD353=21,J353,0)</f>
        <v>0</v>
      </c>
      <c r="AD353" s="36">
        <v>21</v>
      </c>
      <c r="AE353" s="36">
        <f>G353*0</f>
        <v>0</v>
      </c>
      <c r="AF353" s="36">
        <f>G353*(1-0)</f>
        <v>0</v>
      </c>
      <c r="AG353" s="32" t="s">
        <v>13</v>
      </c>
      <c r="AM353" s="36">
        <f>F353*AE353</f>
        <v>0</v>
      </c>
      <c r="AN353" s="36">
        <f>F353*AF353</f>
        <v>0</v>
      </c>
      <c r="AO353" s="37" t="s">
        <v>1078</v>
      </c>
      <c r="AP353" s="37" t="s">
        <v>1097</v>
      </c>
      <c r="AQ353" s="29" t="s">
        <v>1101</v>
      </c>
      <c r="AS353" s="36">
        <f>AM353+AN353</f>
        <v>0</v>
      </c>
      <c r="AT353" s="36">
        <f>G353/(100-AU353)*100</f>
        <v>0</v>
      </c>
      <c r="AU353" s="36">
        <v>0</v>
      </c>
      <c r="AV353" s="36">
        <f>L353</f>
        <v>0</v>
      </c>
    </row>
    <row r="354" spans="4:6" ht="12.75">
      <c r="D354" s="17" t="s">
        <v>848</v>
      </c>
      <c r="F354" s="21">
        <v>11.4</v>
      </c>
    </row>
    <row r="355" spans="1:48" ht="12.75">
      <c r="A355" s="6" t="s">
        <v>173</v>
      </c>
      <c r="B355" s="6"/>
      <c r="C355" s="6" t="s">
        <v>428</v>
      </c>
      <c r="D355" s="6" t="s">
        <v>849</v>
      </c>
      <c r="E355" s="6" t="s">
        <v>1018</v>
      </c>
      <c r="F355" s="22">
        <v>11.4</v>
      </c>
      <c r="G355" s="22">
        <v>0</v>
      </c>
      <c r="H355" s="22">
        <f>F355*AE355</f>
        <v>0</v>
      </c>
      <c r="I355" s="22">
        <f>J355-H355</f>
        <v>0</v>
      </c>
      <c r="J355" s="22">
        <f>F355*G355</f>
        <v>0</v>
      </c>
      <c r="K355" s="22">
        <v>0</v>
      </c>
      <c r="L355" s="22">
        <f>F355*K355</f>
        <v>0</v>
      </c>
      <c r="M355" s="33" t="s">
        <v>1040</v>
      </c>
      <c r="P355" s="36">
        <f>IF(AG355="5",J355,0)</f>
        <v>0</v>
      </c>
      <c r="R355" s="36">
        <f>IF(AG355="1",H355,0)</f>
        <v>0</v>
      </c>
      <c r="S355" s="36">
        <f>IF(AG355="1",I355,0)</f>
        <v>0</v>
      </c>
      <c r="T355" s="36">
        <f>IF(AG355="7",H355,0)</f>
        <v>0</v>
      </c>
      <c r="U355" s="36">
        <f>IF(AG355="7",I355,0)</f>
        <v>0</v>
      </c>
      <c r="V355" s="36">
        <f>IF(AG355="2",H355,0)</f>
        <v>0</v>
      </c>
      <c r="W355" s="36">
        <f>IF(AG355="2",I355,0)</f>
        <v>0</v>
      </c>
      <c r="X355" s="36">
        <f>IF(AG355="0",J355,0)</f>
        <v>0</v>
      </c>
      <c r="Y355" s="29"/>
      <c r="Z355" s="22">
        <f>IF(AD355=0,J355,0)</f>
        <v>0</v>
      </c>
      <c r="AA355" s="22">
        <f>IF(AD355=15,J355,0)</f>
        <v>0</v>
      </c>
      <c r="AB355" s="22">
        <f>IF(AD355=21,J355,0)</f>
        <v>0</v>
      </c>
      <c r="AD355" s="36">
        <v>21</v>
      </c>
      <c r="AE355" s="36">
        <f>G355*1</f>
        <v>0</v>
      </c>
      <c r="AF355" s="36">
        <f>G355*(1-1)</f>
        <v>0</v>
      </c>
      <c r="AG355" s="33" t="s">
        <v>13</v>
      </c>
      <c r="AM355" s="36">
        <f>F355*AE355</f>
        <v>0</v>
      </c>
      <c r="AN355" s="36">
        <f>F355*AF355</f>
        <v>0</v>
      </c>
      <c r="AO355" s="37" t="s">
        <v>1078</v>
      </c>
      <c r="AP355" s="37" t="s">
        <v>1097</v>
      </c>
      <c r="AQ355" s="29" t="s">
        <v>1101</v>
      </c>
      <c r="AS355" s="36">
        <f>AM355+AN355</f>
        <v>0</v>
      </c>
      <c r="AT355" s="36">
        <f>G355/(100-AU355)*100</f>
        <v>0</v>
      </c>
      <c r="AU355" s="36">
        <v>0</v>
      </c>
      <c r="AV355" s="36">
        <f>L355</f>
        <v>0</v>
      </c>
    </row>
    <row r="356" spans="1:48" ht="12.75">
      <c r="A356" s="4" t="s">
        <v>174</v>
      </c>
      <c r="B356" s="4"/>
      <c r="C356" s="4" t="s">
        <v>429</v>
      </c>
      <c r="D356" s="4" t="s">
        <v>850</v>
      </c>
      <c r="E356" s="4" t="s">
        <v>1018</v>
      </c>
      <c r="F356" s="20">
        <v>8</v>
      </c>
      <c r="G356" s="20">
        <v>0</v>
      </c>
      <c r="H356" s="20">
        <f>F356*AE356</f>
        <v>0</v>
      </c>
      <c r="I356" s="20">
        <f>J356-H356</f>
        <v>0</v>
      </c>
      <c r="J356" s="20">
        <f>F356*G356</f>
        <v>0</v>
      </c>
      <c r="K356" s="20">
        <v>0</v>
      </c>
      <c r="L356" s="20">
        <f>F356*K356</f>
        <v>0</v>
      </c>
      <c r="M356" s="32"/>
      <c r="P356" s="36">
        <f>IF(AG356="5",J356,0)</f>
        <v>0</v>
      </c>
      <c r="R356" s="36">
        <f>IF(AG356="1",H356,0)</f>
        <v>0</v>
      </c>
      <c r="S356" s="36">
        <f>IF(AG356="1",I356,0)</f>
        <v>0</v>
      </c>
      <c r="T356" s="36">
        <f>IF(AG356="7",H356,0)</f>
        <v>0</v>
      </c>
      <c r="U356" s="36">
        <f>IF(AG356="7",I356,0)</f>
        <v>0</v>
      </c>
      <c r="V356" s="36">
        <f>IF(AG356="2",H356,0)</f>
        <v>0</v>
      </c>
      <c r="W356" s="36">
        <f>IF(AG356="2",I356,0)</f>
        <v>0</v>
      </c>
      <c r="X356" s="36">
        <f>IF(AG356="0",J356,0)</f>
        <v>0</v>
      </c>
      <c r="Y356" s="29"/>
      <c r="Z356" s="20">
        <f>IF(AD356=0,J356,0)</f>
        <v>0</v>
      </c>
      <c r="AA356" s="20">
        <f>IF(AD356=15,J356,0)</f>
        <v>0</v>
      </c>
      <c r="AB356" s="20">
        <f>IF(AD356=21,J356,0)</f>
        <v>0</v>
      </c>
      <c r="AD356" s="36">
        <v>21</v>
      </c>
      <c r="AE356" s="36">
        <f>G356*0</f>
        <v>0</v>
      </c>
      <c r="AF356" s="36">
        <f>G356*(1-0)</f>
        <v>0</v>
      </c>
      <c r="AG356" s="32" t="s">
        <v>13</v>
      </c>
      <c r="AM356" s="36">
        <f>F356*AE356</f>
        <v>0</v>
      </c>
      <c r="AN356" s="36">
        <f>F356*AF356</f>
        <v>0</v>
      </c>
      <c r="AO356" s="37" t="s">
        <v>1078</v>
      </c>
      <c r="AP356" s="37" t="s">
        <v>1097</v>
      </c>
      <c r="AQ356" s="29" t="s">
        <v>1101</v>
      </c>
      <c r="AS356" s="36">
        <f>AM356+AN356</f>
        <v>0</v>
      </c>
      <c r="AT356" s="36">
        <f>G356/(100-AU356)*100</f>
        <v>0</v>
      </c>
      <c r="AU356" s="36">
        <v>0</v>
      </c>
      <c r="AV356" s="36">
        <f>L356</f>
        <v>0</v>
      </c>
    </row>
    <row r="357" spans="1:48" ht="12.75">
      <c r="A357" s="6" t="s">
        <v>175</v>
      </c>
      <c r="B357" s="6"/>
      <c r="C357" s="6" t="s">
        <v>430</v>
      </c>
      <c r="D357" s="6" t="s">
        <v>851</v>
      </c>
      <c r="E357" s="6" t="s">
        <v>1018</v>
      </c>
      <c r="F357" s="22">
        <v>4</v>
      </c>
      <c r="G357" s="22">
        <v>0</v>
      </c>
      <c r="H357" s="22">
        <f>F357*AE357</f>
        <v>0</v>
      </c>
      <c r="I357" s="22">
        <f>J357-H357</f>
        <v>0</v>
      </c>
      <c r="J357" s="22">
        <f>F357*G357</f>
        <v>0</v>
      </c>
      <c r="K357" s="22">
        <v>0</v>
      </c>
      <c r="L357" s="22">
        <f>F357*K357</f>
        <v>0</v>
      </c>
      <c r="M357" s="33"/>
      <c r="P357" s="36">
        <f>IF(AG357="5",J357,0)</f>
        <v>0</v>
      </c>
      <c r="R357" s="36">
        <f>IF(AG357="1",H357,0)</f>
        <v>0</v>
      </c>
      <c r="S357" s="36">
        <f>IF(AG357="1",I357,0)</f>
        <v>0</v>
      </c>
      <c r="T357" s="36">
        <f>IF(AG357="7",H357,0)</f>
        <v>0</v>
      </c>
      <c r="U357" s="36">
        <f>IF(AG357="7",I357,0)</f>
        <v>0</v>
      </c>
      <c r="V357" s="36">
        <f>IF(AG357="2",H357,0)</f>
        <v>0</v>
      </c>
      <c r="W357" s="36">
        <f>IF(AG357="2",I357,0)</f>
        <v>0</v>
      </c>
      <c r="X357" s="36">
        <f>IF(AG357="0",J357,0)</f>
        <v>0</v>
      </c>
      <c r="Y357" s="29"/>
      <c r="Z357" s="22">
        <f>IF(AD357=0,J357,0)</f>
        <v>0</v>
      </c>
      <c r="AA357" s="22">
        <f>IF(AD357=15,J357,0)</f>
        <v>0</v>
      </c>
      <c r="AB357" s="22">
        <f>IF(AD357=21,J357,0)</f>
        <v>0</v>
      </c>
      <c r="AD357" s="36">
        <v>21</v>
      </c>
      <c r="AE357" s="36">
        <f>G357*1</f>
        <v>0</v>
      </c>
      <c r="AF357" s="36">
        <f>G357*(1-1)</f>
        <v>0</v>
      </c>
      <c r="AG357" s="33" t="s">
        <v>13</v>
      </c>
      <c r="AM357" s="36">
        <f>F357*AE357</f>
        <v>0</v>
      </c>
      <c r="AN357" s="36">
        <f>F357*AF357</f>
        <v>0</v>
      </c>
      <c r="AO357" s="37" t="s">
        <v>1078</v>
      </c>
      <c r="AP357" s="37" t="s">
        <v>1097</v>
      </c>
      <c r="AQ357" s="29" t="s">
        <v>1101</v>
      </c>
      <c r="AS357" s="36">
        <f>AM357+AN357</f>
        <v>0</v>
      </c>
      <c r="AT357" s="36">
        <f>G357/(100-AU357)*100</f>
        <v>0</v>
      </c>
      <c r="AU357" s="36">
        <v>0</v>
      </c>
      <c r="AV357" s="36">
        <f>L357</f>
        <v>0</v>
      </c>
    </row>
    <row r="358" spans="3:13" ht="12.75">
      <c r="C358" s="14" t="s">
        <v>255</v>
      </c>
      <c r="D358" s="91" t="s">
        <v>852</v>
      </c>
      <c r="E358" s="92"/>
      <c r="F358" s="92"/>
      <c r="G358" s="92"/>
      <c r="H358" s="92"/>
      <c r="I358" s="92"/>
      <c r="J358" s="92"/>
      <c r="K358" s="92"/>
      <c r="L358" s="92"/>
      <c r="M358" s="92"/>
    </row>
    <row r="359" spans="1:48" ht="12.75">
      <c r="A359" s="6" t="s">
        <v>176</v>
      </c>
      <c r="B359" s="6"/>
      <c r="C359" s="6" t="s">
        <v>431</v>
      </c>
      <c r="D359" s="6" t="s">
        <v>851</v>
      </c>
      <c r="E359" s="6" t="s">
        <v>1018</v>
      </c>
      <c r="F359" s="22">
        <v>4</v>
      </c>
      <c r="G359" s="22">
        <v>0</v>
      </c>
      <c r="H359" s="22">
        <f>F359*AE359</f>
        <v>0</v>
      </c>
      <c r="I359" s="22">
        <f>J359-H359</f>
        <v>0</v>
      </c>
      <c r="J359" s="22">
        <f>F359*G359</f>
        <v>0</v>
      </c>
      <c r="K359" s="22">
        <v>0</v>
      </c>
      <c r="L359" s="22">
        <f>F359*K359</f>
        <v>0</v>
      </c>
      <c r="M359" s="33"/>
      <c r="P359" s="36">
        <f>IF(AG359="5",J359,0)</f>
        <v>0</v>
      </c>
      <c r="R359" s="36">
        <f>IF(AG359="1",H359,0)</f>
        <v>0</v>
      </c>
      <c r="S359" s="36">
        <f>IF(AG359="1",I359,0)</f>
        <v>0</v>
      </c>
      <c r="T359" s="36">
        <f>IF(AG359="7",H359,0)</f>
        <v>0</v>
      </c>
      <c r="U359" s="36">
        <f>IF(AG359="7",I359,0)</f>
        <v>0</v>
      </c>
      <c r="V359" s="36">
        <f>IF(AG359="2",H359,0)</f>
        <v>0</v>
      </c>
      <c r="W359" s="36">
        <f>IF(AG359="2",I359,0)</f>
        <v>0</v>
      </c>
      <c r="X359" s="36">
        <f>IF(AG359="0",J359,0)</f>
        <v>0</v>
      </c>
      <c r="Y359" s="29"/>
      <c r="Z359" s="22">
        <f>IF(AD359=0,J359,0)</f>
        <v>0</v>
      </c>
      <c r="AA359" s="22">
        <f>IF(AD359=15,J359,0)</f>
        <v>0</v>
      </c>
      <c r="AB359" s="22">
        <f>IF(AD359=21,J359,0)</f>
        <v>0</v>
      </c>
      <c r="AD359" s="36">
        <v>21</v>
      </c>
      <c r="AE359" s="36">
        <f>G359*1</f>
        <v>0</v>
      </c>
      <c r="AF359" s="36">
        <f>G359*(1-1)</f>
        <v>0</v>
      </c>
      <c r="AG359" s="33" t="s">
        <v>13</v>
      </c>
      <c r="AM359" s="36">
        <f>F359*AE359</f>
        <v>0</v>
      </c>
      <c r="AN359" s="36">
        <f>F359*AF359</f>
        <v>0</v>
      </c>
      <c r="AO359" s="37" t="s">
        <v>1078</v>
      </c>
      <c r="AP359" s="37" t="s">
        <v>1097</v>
      </c>
      <c r="AQ359" s="29" t="s">
        <v>1101</v>
      </c>
      <c r="AS359" s="36">
        <f>AM359+AN359</f>
        <v>0</v>
      </c>
      <c r="AT359" s="36">
        <f>G359/(100-AU359)*100</f>
        <v>0</v>
      </c>
      <c r="AU359" s="36">
        <v>0</v>
      </c>
      <c r="AV359" s="36">
        <f>L359</f>
        <v>0</v>
      </c>
    </row>
    <row r="360" spans="3:13" ht="12.75">
      <c r="C360" s="14" t="s">
        <v>255</v>
      </c>
      <c r="D360" s="91" t="s">
        <v>853</v>
      </c>
      <c r="E360" s="92"/>
      <c r="F360" s="92"/>
      <c r="G360" s="92"/>
      <c r="H360" s="92"/>
      <c r="I360" s="92"/>
      <c r="J360" s="92"/>
      <c r="K360" s="92"/>
      <c r="L360" s="92"/>
      <c r="M360" s="92"/>
    </row>
    <row r="361" spans="1:48" ht="12.75">
      <c r="A361" s="4" t="s">
        <v>177</v>
      </c>
      <c r="B361" s="4"/>
      <c r="C361" s="4" t="s">
        <v>432</v>
      </c>
      <c r="D361" s="4" t="s">
        <v>854</v>
      </c>
      <c r="E361" s="4" t="s">
        <v>1018</v>
      </c>
      <c r="F361" s="20">
        <v>8</v>
      </c>
      <c r="G361" s="20">
        <v>0</v>
      </c>
      <c r="H361" s="20">
        <f aca="true" t="shared" si="60" ref="H361:H367">F361*AE361</f>
        <v>0</v>
      </c>
      <c r="I361" s="20">
        <f aca="true" t="shared" si="61" ref="I361:I367">J361-H361</f>
        <v>0</v>
      </c>
      <c r="J361" s="20">
        <f aca="true" t="shared" si="62" ref="J361:J367">F361*G361</f>
        <v>0</v>
      </c>
      <c r="K361" s="20">
        <v>0</v>
      </c>
      <c r="L361" s="20">
        <f aca="true" t="shared" si="63" ref="L361:L367">F361*K361</f>
        <v>0</v>
      </c>
      <c r="M361" s="32"/>
      <c r="P361" s="36">
        <f aca="true" t="shared" si="64" ref="P361:P367">IF(AG361="5",J361,0)</f>
        <v>0</v>
      </c>
      <c r="R361" s="36">
        <f aca="true" t="shared" si="65" ref="R361:R367">IF(AG361="1",H361,0)</f>
        <v>0</v>
      </c>
      <c r="S361" s="36">
        <f aca="true" t="shared" si="66" ref="S361:S367">IF(AG361="1",I361,0)</f>
        <v>0</v>
      </c>
      <c r="T361" s="36">
        <f aca="true" t="shared" si="67" ref="T361:T367">IF(AG361="7",H361,0)</f>
        <v>0</v>
      </c>
      <c r="U361" s="36">
        <f aca="true" t="shared" si="68" ref="U361:U367">IF(AG361="7",I361,0)</f>
        <v>0</v>
      </c>
      <c r="V361" s="36">
        <f aca="true" t="shared" si="69" ref="V361:V367">IF(AG361="2",H361,0)</f>
        <v>0</v>
      </c>
      <c r="W361" s="36">
        <f aca="true" t="shared" si="70" ref="W361:W367">IF(AG361="2",I361,0)</f>
        <v>0</v>
      </c>
      <c r="X361" s="36">
        <f aca="true" t="shared" si="71" ref="X361:X367">IF(AG361="0",J361,0)</f>
        <v>0</v>
      </c>
      <c r="Y361" s="29"/>
      <c r="Z361" s="20">
        <f aca="true" t="shared" si="72" ref="Z361:Z367">IF(AD361=0,J361,0)</f>
        <v>0</v>
      </c>
      <c r="AA361" s="20">
        <f aca="true" t="shared" si="73" ref="AA361:AA367">IF(AD361=15,J361,0)</f>
        <v>0</v>
      </c>
      <c r="AB361" s="20">
        <f aca="true" t="shared" si="74" ref="AB361:AB367">IF(AD361=21,J361,0)</f>
        <v>0</v>
      </c>
      <c r="AD361" s="36">
        <v>21</v>
      </c>
      <c r="AE361" s="36">
        <f>G361*0</f>
        <v>0</v>
      </c>
      <c r="AF361" s="36">
        <f>G361*(1-0)</f>
        <v>0</v>
      </c>
      <c r="AG361" s="32" t="s">
        <v>13</v>
      </c>
      <c r="AM361" s="36">
        <f aca="true" t="shared" si="75" ref="AM361:AM367">F361*AE361</f>
        <v>0</v>
      </c>
      <c r="AN361" s="36">
        <f aca="true" t="shared" si="76" ref="AN361:AN367">F361*AF361</f>
        <v>0</v>
      </c>
      <c r="AO361" s="37" t="s">
        <v>1078</v>
      </c>
      <c r="AP361" s="37" t="s">
        <v>1097</v>
      </c>
      <c r="AQ361" s="29" t="s">
        <v>1101</v>
      </c>
      <c r="AS361" s="36">
        <f aca="true" t="shared" si="77" ref="AS361:AS367">AM361+AN361</f>
        <v>0</v>
      </c>
      <c r="AT361" s="36">
        <f aca="true" t="shared" si="78" ref="AT361:AT367">G361/(100-AU361)*100</f>
        <v>0</v>
      </c>
      <c r="AU361" s="36">
        <v>0</v>
      </c>
      <c r="AV361" s="36">
        <f aca="true" t="shared" si="79" ref="AV361:AV367">L361</f>
        <v>0</v>
      </c>
    </row>
    <row r="362" spans="1:48" ht="12.75">
      <c r="A362" s="6" t="s">
        <v>178</v>
      </c>
      <c r="B362" s="6"/>
      <c r="C362" s="6" t="s">
        <v>433</v>
      </c>
      <c r="D362" s="6" t="s">
        <v>855</v>
      </c>
      <c r="E362" s="6" t="s">
        <v>1018</v>
      </c>
      <c r="F362" s="22">
        <v>4</v>
      </c>
      <c r="G362" s="22">
        <v>0</v>
      </c>
      <c r="H362" s="22">
        <f t="shared" si="60"/>
        <v>0</v>
      </c>
      <c r="I362" s="22">
        <f t="shared" si="61"/>
        <v>0</v>
      </c>
      <c r="J362" s="22">
        <f t="shared" si="62"/>
        <v>0</v>
      </c>
      <c r="K362" s="22">
        <v>0</v>
      </c>
      <c r="L362" s="22">
        <f t="shared" si="63"/>
        <v>0</v>
      </c>
      <c r="M362" s="33"/>
      <c r="P362" s="36">
        <f t="shared" si="64"/>
        <v>0</v>
      </c>
      <c r="R362" s="36">
        <f t="shared" si="65"/>
        <v>0</v>
      </c>
      <c r="S362" s="36">
        <f t="shared" si="66"/>
        <v>0</v>
      </c>
      <c r="T362" s="36">
        <f t="shared" si="67"/>
        <v>0</v>
      </c>
      <c r="U362" s="36">
        <f t="shared" si="68"/>
        <v>0</v>
      </c>
      <c r="V362" s="36">
        <f t="shared" si="69"/>
        <v>0</v>
      </c>
      <c r="W362" s="36">
        <f t="shared" si="70"/>
        <v>0</v>
      </c>
      <c r="X362" s="36">
        <f t="shared" si="71"/>
        <v>0</v>
      </c>
      <c r="Y362" s="29"/>
      <c r="Z362" s="22">
        <f t="shared" si="72"/>
        <v>0</v>
      </c>
      <c r="AA362" s="22">
        <f t="shared" si="73"/>
        <v>0</v>
      </c>
      <c r="AB362" s="22">
        <f t="shared" si="74"/>
        <v>0</v>
      </c>
      <c r="AD362" s="36">
        <v>21</v>
      </c>
      <c r="AE362" s="36">
        <f>G362*1</f>
        <v>0</v>
      </c>
      <c r="AF362" s="36">
        <f>G362*(1-1)</f>
        <v>0</v>
      </c>
      <c r="AG362" s="33" t="s">
        <v>13</v>
      </c>
      <c r="AM362" s="36">
        <f t="shared" si="75"/>
        <v>0</v>
      </c>
      <c r="AN362" s="36">
        <f t="shared" si="76"/>
        <v>0</v>
      </c>
      <c r="AO362" s="37" t="s">
        <v>1078</v>
      </c>
      <c r="AP362" s="37" t="s">
        <v>1097</v>
      </c>
      <c r="AQ362" s="29" t="s">
        <v>1101</v>
      </c>
      <c r="AS362" s="36">
        <f t="shared" si="77"/>
        <v>0</v>
      </c>
      <c r="AT362" s="36">
        <f t="shared" si="78"/>
        <v>0</v>
      </c>
      <c r="AU362" s="36">
        <v>0</v>
      </c>
      <c r="AV362" s="36">
        <f t="shared" si="79"/>
        <v>0</v>
      </c>
    </row>
    <row r="363" spans="1:48" ht="12.75">
      <c r="A363" s="6" t="s">
        <v>179</v>
      </c>
      <c r="B363" s="6"/>
      <c r="C363" s="6" t="s">
        <v>434</v>
      </c>
      <c r="D363" s="6" t="s">
        <v>856</v>
      </c>
      <c r="E363" s="6" t="s">
        <v>1018</v>
      </c>
      <c r="F363" s="22">
        <v>4</v>
      </c>
      <c r="G363" s="22">
        <v>0</v>
      </c>
      <c r="H363" s="22">
        <f t="shared" si="60"/>
        <v>0</v>
      </c>
      <c r="I363" s="22">
        <f t="shared" si="61"/>
        <v>0</v>
      </c>
      <c r="J363" s="22">
        <f t="shared" si="62"/>
        <v>0</v>
      </c>
      <c r="K363" s="22">
        <v>0</v>
      </c>
      <c r="L363" s="22">
        <f t="shared" si="63"/>
        <v>0</v>
      </c>
      <c r="M363" s="33"/>
      <c r="P363" s="36">
        <f t="shared" si="64"/>
        <v>0</v>
      </c>
      <c r="R363" s="36">
        <f t="shared" si="65"/>
        <v>0</v>
      </c>
      <c r="S363" s="36">
        <f t="shared" si="66"/>
        <v>0</v>
      </c>
      <c r="T363" s="36">
        <f t="shared" si="67"/>
        <v>0</v>
      </c>
      <c r="U363" s="36">
        <f t="shared" si="68"/>
        <v>0</v>
      </c>
      <c r="V363" s="36">
        <f t="shared" si="69"/>
        <v>0</v>
      </c>
      <c r="W363" s="36">
        <f t="shared" si="70"/>
        <v>0</v>
      </c>
      <c r="X363" s="36">
        <f t="shared" si="71"/>
        <v>0</v>
      </c>
      <c r="Y363" s="29"/>
      <c r="Z363" s="22">
        <f t="shared" si="72"/>
        <v>0</v>
      </c>
      <c r="AA363" s="22">
        <f t="shared" si="73"/>
        <v>0</v>
      </c>
      <c r="AB363" s="22">
        <f t="shared" si="74"/>
        <v>0</v>
      </c>
      <c r="AD363" s="36">
        <v>21</v>
      </c>
      <c r="AE363" s="36">
        <f>G363*1</f>
        <v>0</v>
      </c>
      <c r="AF363" s="36">
        <f>G363*(1-1)</f>
        <v>0</v>
      </c>
      <c r="AG363" s="33" t="s">
        <v>13</v>
      </c>
      <c r="AM363" s="36">
        <f t="shared" si="75"/>
        <v>0</v>
      </c>
      <c r="AN363" s="36">
        <f t="shared" si="76"/>
        <v>0</v>
      </c>
      <c r="AO363" s="37" t="s">
        <v>1078</v>
      </c>
      <c r="AP363" s="37" t="s">
        <v>1097</v>
      </c>
      <c r="AQ363" s="29" t="s">
        <v>1101</v>
      </c>
      <c r="AS363" s="36">
        <f t="shared" si="77"/>
        <v>0</v>
      </c>
      <c r="AT363" s="36">
        <f t="shared" si="78"/>
        <v>0</v>
      </c>
      <c r="AU363" s="36">
        <v>0</v>
      </c>
      <c r="AV363" s="36">
        <f t="shared" si="79"/>
        <v>0</v>
      </c>
    </row>
    <row r="364" spans="1:48" ht="12.75">
      <c r="A364" s="4" t="s">
        <v>180</v>
      </c>
      <c r="B364" s="4"/>
      <c r="C364" s="4" t="s">
        <v>435</v>
      </c>
      <c r="D364" s="4" t="s">
        <v>857</v>
      </c>
      <c r="E364" s="4" t="s">
        <v>1018</v>
      </c>
      <c r="F364" s="20">
        <v>42</v>
      </c>
      <c r="G364" s="20">
        <v>0</v>
      </c>
      <c r="H364" s="20">
        <f t="shared" si="60"/>
        <v>0</v>
      </c>
      <c r="I364" s="20">
        <f t="shared" si="61"/>
        <v>0</v>
      </c>
      <c r="J364" s="20">
        <f t="shared" si="62"/>
        <v>0</v>
      </c>
      <c r="K364" s="20">
        <v>0</v>
      </c>
      <c r="L364" s="20">
        <f t="shared" si="63"/>
        <v>0</v>
      </c>
      <c r="M364" s="32"/>
      <c r="P364" s="36">
        <f t="shared" si="64"/>
        <v>0</v>
      </c>
      <c r="R364" s="36">
        <f t="shared" si="65"/>
        <v>0</v>
      </c>
      <c r="S364" s="36">
        <f t="shared" si="66"/>
        <v>0</v>
      </c>
      <c r="T364" s="36">
        <f t="shared" si="67"/>
        <v>0</v>
      </c>
      <c r="U364" s="36">
        <f t="shared" si="68"/>
        <v>0</v>
      </c>
      <c r="V364" s="36">
        <f t="shared" si="69"/>
        <v>0</v>
      </c>
      <c r="W364" s="36">
        <f t="shared" si="70"/>
        <v>0</v>
      </c>
      <c r="X364" s="36">
        <f t="shared" si="71"/>
        <v>0</v>
      </c>
      <c r="Y364" s="29"/>
      <c r="Z364" s="20">
        <f t="shared" si="72"/>
        <v>0</v>
      </c>
      <c r="AA364" s="20">
        <f t="shared" si="73"/>
        <v>0</v>
      </c>
      <c r="AB364" s="20">
        <f t="shared" si="74"/>
        <v>0</v>
      </c>
      <c r="AD364" s="36">
        <v>21</v>
      </c>
      <c r="AE364" s="36">
        <f>G364*0</f>
        <v>0</v>
      </c>
      <c r="AF364" s="36">
        <f>G364*(1-0)</f>
        <v>0</v>
      </c>
      <c r="AG364" s="32" t="s">
        <v>13</v>
      </c>
      <c r="AM364" s="36">
        <f t="shared" si="75"/>
        <v>0</v>
      </c>
      <c r="AN364" s="36">
        <f t="shared" si="76"/>
        <v>0</v>
      </c>
      <c r="AO364" s="37" t="s">
        <v>1078</v>
      </c>
      <c r="AP364" s="37" t="s">
        <v>1097</v>
      </c>
      <c r="AQ364" s="29" t="s">
        <v>1101</v>
      </c>
      <c r="AS364" s="36">
        <f t="shared" si="77"/>
        <v>0</v>
      </c>
      <c r="AT364" s="36">
        <f t="shared" si="78"/>
        <v>0</v>
      </c>
      <c r="AU364" s="36">
        <v>0</v>
      </c>
      <c r="AV364" s="36">
        <f t="shared" si="79"/>
        <v>0</v>
      </c>
    </row>
    <row r="365" spans="1:48" ht="12.75">
      <c r="A365" s="6" t="s">
        <v>181</v>
      </c>
      <c r="B365" s="6"/>
      <c r="C365" s="6" t="s">
        <v>436</v>
      </c>
      <c r="D365" s="6" t="s">
        <v>858</v>
      </c>
      <c r="E365" s="6" t="s">
        <v>1018</v>
      </c>
      <c r="F365" s="22">
        <v>21</v>
      </c>
      <c r="G365" s="22">
        <v>0</v>
      </c>
      <c r="H365" s="22">
        <f t="shared" si="60"/>
        <v>0</v>
      </c>
      <c r="I365" s="22">
        <f t="shared" si="61"/>
        <v>0</v>
      </c>
      <c r="J365" s="22">
        <f t="shared" si="62"/>
        <v>0</v>
      </c>
      <c r="K365" s="22">
        <v>0</v>
      </c>
      <c r="L365" s="22">
        <f t="shared" si="63"/>
        <v>0</v>
      </c>
      <c r="M365" s="33"/>
      <c r="P365" s="36">
        <f t="shared" si="64"/>
        <v>0</v>
      </c>
      <c r="R365" s="36">
        <f t="shared" si="65"/>
        <v>0</v>
      </c>
      <c r="S365" s="36">
        <f t="shared" si="66"/>
        <v>0</v>
      </c>
      <c r="T365" s="36">
        <f t="shared" si="67"/>
        <v>0</v>
      </c>
      <c r="U365" s="36">
        <f t="shared" si="68"/>
        <v>0</v>
      </c>
      <c r="V365" s="36">
        <f t="shared" si="69"/>
        <v>0</v>
      </c>
      <c r="W365" s="36">
        <f t="shared" si="70"/>
        <v>0</v>
      </c>
      <c r="X365" s="36">
        <f t="shared" si="71"/>
        <v>0</v>
      </c>
      <c r="Y365" s="29"/>
      <c r="Z365" s="22">
        <f t="shared" si="72"/>
        <v>0</v>
      </c>
      <c r="AA365" s="22">
        <f t="shared" si="73"/>
        <v>0</v>
      </c>
      <c r="AB365" s="22">
        <f t="shared" si="74"/>
        <v>0</v>
      </c>
      <c r="AD365" s="36">
        <v>21</v>
      </c>
      <c r="AE365" s="36">
        <f>G365*1</f>
        <v>0</v>
      </c>
      <c r="AF365" s="36">
        <f>G365*(1-1)</f>
        <v>0</v>
      </c>
      <c r="AG365" s="33" t="s">
        <v>13</v>
      </c>
      <c r="AM365" s="36">
        <f t="shared" si="75"/>
        <v>0</v>
      </c>
      <c r="AN365" s="36">
        <f t="shared" si="76"/>
        <v>0</v>
      </c>
      <c r="AO365" s="37" t="s">
        <v>1078</v>
      </c>
      <c r="AP365" s="37" t="s">
        <v>1097</v>
      </c>
      <c r="AQ365" s="29" t="s">
        <v>1101</v>
      </c>
      <c r="AS365" s="36">
        <f t="shared" si="77"/>
        <v>0</v>
      </c>
      <c r="AT365" s="36">
        <f t="shared" si="78"/>
        <v>0</v>
      </c>
      <c r="AU365" s="36">
        <v>0</v>
      </c>
      <c r="AV365" s="36">
        <f t="shared" si="79"/>
        <v>0</v>
      </c>
    </row>
    <row r="366" spans="1:48" ht="12.75">
      <c r="A366" s="4" t="s">
        <v>182</v>
      </c>
      <c r="B366" s="4"/>
      <c r="C366" s="4" t="s">
        <v>437</v>
      </c>
      <c r="D366" s="4" t="s">
        <v>859</v>
      </c>
      <c r="E366" s="4" t="s">
        <v>1023</v>
      </c>
      <c r="F366" s="20">
        <v>1</v>
      </c>
      <c r="G366" s="20">
        <v>0</v>
      </c>
      <c r="H366" s="20">
        <f t="shared" si="60"/>
        <v>0</v>
      </c>
      <c r="I366" s="20">
        <f t="shared" si="61"/>
        <v>0</v>
      </c>
      <c r="J366" s="20">
        <f t="shared" si="62"/>
        <v>0</v>
      </c>
      <c r="K366" s="20">
        <v>0</v>
      </c>
      <c r="L366" s="20">
        <f t="shared" si="63"/>
        <v>0</v>
      </c>
      <c r="M366" s="32"/>
      <c r="P366" s="36">
        <f t="shared" si="64"/>
        <v>0</v>
      </c>
      <c r="R366" s="36">
        <f t="shared" si="65"/>
        <v>0</v>
      </c>
      <c r="S366" s="36">
        <f t="shared" si="66"/>
        <v>0</v>
      </c>
      <c r="T366" s="36">
        <f t="shared" si="67"/>
        <v>0</v>
      </c>
      <c r="U366" s="36">
        <f t="shared" si="68"/>
        <v>0</v>
      </c>
      <c r="V366" s="36">
        <f t="shared" si="69"/>
        <v>0</v>
      </c>
      <c r="W366" s="36">
        <f t="shared" si="70"/>
        <v>0</v>
      </c>
      <c r="X366" s="36">
        <f t="shared" si="71"/>
        <v>0</v>
      </c>
      <c r="Y366" s="29"/>
      <c r="Z366" s="20">
        <f t="shared" si="72"/>
        <v>0</v>
      </c>
      <c r="AA366" s="20">
        <f t="shared" si="73"/>
        <v>0</v>
      </c>
      <c r="AB366" s="20">
        <f t="shared" si="74"/>
        <v>0</v>
      </c>
      <c r="AD366" s="36">
        <v>21</v>
      </c>
      <c r="AE366" s="36">
        <f>G366*0</f>
        <v>0</v>
      </c>
      <c r="AF366" s="36">
        <f>G366*(1-0)</f>
        <v>0</v>
      </c>
      <c r="AG366" s="32" t="s">
        <v>13</v>
      </c>
      <c r="AM366" s="36">
        <f t="shared" si="75"/>
        <v>0</v>
      </c>
      <c r="AN366" s="36">
        <f t="shared" si="76"/>
        <v>0</v>
      </c>
      <c r="AO366" s="37" t="s">
        <v>1078</v>
      </c>
      <c r="AP366" s="37" t="s">
        <v>1097</v>
      </c>
      <c r="AQ366" s="29" t="s">
        <v>1101</v>
      </c>
      <c r="AS366" s="36">
        <f t="shared" si="77"/>
        <v>0</v>
      </c>
      <c r="AT366" s="36">
        <f t="shared" si="78"/>
        <v>0</v>
      </c>
      <c r="AU366" s="36">
        <v>0</v>
      </c>
      <c r="AV366" s="36">
        <f t="shared" si="79"/>
        <v>0</v>
      </c>
    </row>
    <row r="367" spans="1:48" ht="12.75">
      <c r="A367" s="4" t="s">
        <v>183</v>
      </c>
      <c r="B367" s="4"/>
      <c r="C367" s="4" t="s">
        <v>438</v>
      </c>
      <c r="D367" s="4" t="s">
        <v>860</v>
      </c>
      <c r="E367" s="4" t="s">
        <v>1015</v>
      </c>
      <c r="F367" s="20">
        <v>0.042</v>
      </c>
      <c r="G367" s="20">
        <v>0</v>
      </c>
      <c r="H367" s="20">
        <f t="shared" si="60"/>
        <v>0</v>
      </c>
      <c r="I367" s="20">
        <f t="shared" si="61"/>
        <v>0</v>
      </c>
      <c r="J367" s="20">
        <f t="shared" si="62"/>
        <v>0</v>
      </c>
      <c r="K367" s="20">
        <v>0</v>
      </c>
      <c r="L367" s="20">
        <f t="shared" si="63"/>
        <v>0</v>
      </c>
      <c r="M367" s="32" t="s">
        <v>1040</v>
      </c>
      <c r="P367" s="36">
        <f t="shared" si="64"/>
        <v>0</v>
      </c>
      <c r="R367" s="36">
        <f t="shared" si="65"/>
        <v>0</v>
      </c>
      <c r="S367" s="36">
        <f t="shared" si="66"/>
        <v>0</v>
      </c>
      <c r="T367" s="36">
        <f t="shared" si="67"/>
        <v>0</v>
      </c>
      <c r="U367" s="36">
        <f t="shared" si="68"/>
        <v>0</v>
      </c>
      <c r="V367" s="36">
        <f t="shared" si="69"/>
        <v>0</v>
      </c>
      <c r="W367" s="36">
        <f t="shared" si="70"/>
        <v>0</v>
      </c>
      <c r="X367" s="36">
        <f t="shared" si="71"/>
        <v>0</v>
      </c>
      <c r="Y367" s="29"/>
      <c r="Z367" s="20">
        <f t="shared" si="72"/>
        <v>0</v>
      </c>
      <c r="AA367" s="20">
        <f t="shared" si="73"/>
        <v>0</v>
      </c>
      <c r="AB367" s="20">
        <f t="shared" si="74"/>
        <v>0</v>
      </c>
      <c r="AD367" s="36">
        <v>21</v>
      </c>
      <c r="AE367" s="36">
        <f>G367*0</f>
        <v>0</v>
      </c>
      <c r="AF367" s="36">
        <f>G367*(1-0)</f>
        <v>0</v>
      </c>
      <c r="AG367" s="32" t="s">
        <v>11</v>
      </c>
      <c r="AM367" s="36">
        <f t="shared" si="75"/>
        <v>0</v>
      </c>
      <c r="AN367" s="36">
        <f t="shared" si="76"/>
        <v>0</v>
      </c>
      <c r="AO367" s="37" t="s">
        <v>1078</v>
      </c>
      <c r="AP367" s="37" t="s">
        <v>1097</v>
      </c>
      <c r="AQ367" s="29" t="s">
        <v>1101</v>
      </c>
      <c r="AS367" s="36">
        <f t="shared" si="77"/>
        <v>0</v>
      </c>
      <c r="AT367" s="36">
        <f t="shared" si="78"/>
        <v>0</v>
      </c>
      <c r="AU367" s="36">
        <v>0</v>
      </c>
      <c r="AV367" s="36">
        <f t="shared" si="79"/>
        <v>0</v>
      </c>
    </row>
    <row r="368" spans="1:37" ht="12.75">
      <c r="A368" s="5"/>
      <c r="B368" s="13"/>
      <c r="C368" s="13" t="s">
        <v>439</v>
      </c>
      <c r="D368" s="93" t="s">
        <v>861</v>
      </c>
      <c r="E368" s="94"/>
      <c r="F368" s="94"/>
      <c r="G368" s="94"/>
      <c r="H368" s="39">
        <f>SUM(H369:H389)</f>
        <v>0</v>
      </c>
      <c r="I368" s="39">
        <f>SUM(I369:I389)</f>
        <v>0</v>
      </c>
      <c r="J368" s="39">
        <f>H368+I368</f>
        <v>0</v>
      </c>
      <c r="K368" s="29"/>
      <c r="L368" s="39">
        <f>SUM(L369:L389)</f>
        <v>4.198007543999999</v>
      </c>
      <c r="M368" s="29"/>
      <c r="Y368" s="29"/>
      <c r="AI368" s="39">
        <f>SUM(Z369:Z389)</f>
        <v>0</v>
      </c>
      <c r="AJ368" s="39">
        <f>SUM(AA369:AA389)</f>
        <v>0</v>
      </c>
      <c r="AK368" s="39">
        <f>SUM(AB369:AB389)</f>
        <v>0</v>
      </c>
    </row>
    <row r="369" spans="1:48" ht="12.75">
      <c r="A369" s="4" t="s">
        <v>184</v>
      </c>
      <c r="B369" s="4"/>
      <c r="C369" s="4" t="s">
        <v>440</v>
      </c>
      <c r="D369" s="4" t="s">
        <v>862</v>
      </c>
      <c r="E369" s="4" t="s">
        <v>1016</v>
      </c>
      <c r="F369" s="20">
        <v>166.3875</v>
      </c>
      <c r="G369" s="20">
        <v>0</v>
      </c>
      <c r="H369" s="20">
        <f>F369*AE369</f>
        <v>0</v>
      </c>
      <c r="I369" s="20">
        <f>J369-H369</f>
        <v>0</v>
      </c>
      <c r="J369" s="20">
        <f>F369*G369</f>
        <v>0</v>
      </c>
      <c r="K369" s="20">
        <v>0.015</v>
      </c>
      <c r="L369" s="20">
        <f>F369*K369</f>
        <v>2.4958124999999995</v>
      </c>
      <c r="M369" s="32"/>
      <c r="P369" s="36">
        <f>IF(AG369="5",J369,0)</f>
        <v>0</v>
      </c>
      <c r="R369" s="36">
        <f>IF(AG369="1",H369,0)</f>
        <v>0</v>
      </c>
      <c r="S369" s="36">
        <f>IF(AG369="1",I369,0)</f>
        <v>0</v>
      </c>
      <c r="T369" s="36">
        <f>IF(AG369="7",H369,0)</f>
        <v>0</v>
      </c>
      <c r="U369" s="36">
        <f>IF(AG369="7",I369,0)</f>
        <v>0</v>
      </c>
      <c r="V369" s="36">
        <f>IF(AG369="2",H369,0)</f>
        <v>0</v>
      </c>
      <c r="W369" s="36">
        <f>IF(AG369="2",I369,0)</f>
        <v>0</v>
      </c>
      <c r="X369" s="36">
        <f>IF(AG369="0",J369,0)</f>
        <v>0</v>
      </c>
      <c r="Y369" s="29"/>
      <c r="Z369" s="20">
        <f>IF(AD369=0,J369,0)</f>
        <v>0</v>
      </c>
      <c r="AA369" s="20">
        <f>IF(AD369=15,J369,0)</f>
        <v>0</v>
      </c>
      <c r="AB369" s="20">
        <f>IF(AD369=21,J369,0)</f>
        <v>0</v>
      </c>
      <c r="AD369" s="36">
        <v>21</v>
      </c>
      <c r="AE369" s="36">
        <f>G369*1</f>
        <v>0</v>
      </c>
      <c r="AF369" s="36">
        <f>G369*(1-1)</f>
        <v>0</v>
      </c>
      <c r="AG369" s="32" t="s">
        <v>13</v>
      </c>
      <c r="AM369" s="36">
        <f>F369*AE369</f>
        <v>0</v>
      </c>
      <c r="AN369" s="36">
        <f>F369*AF369</f>
        <v>0</v>
      </c>
      <c r="AO369" s="37" t="s">
        <v>1079</v>
      </c>
      <c r="AP369" s="37" t="s">
        <v>1098</v>
      </c>
      <c r="AQ369" s="29" t="s">
        <v>1101</v>
      </c>
      <c r="AS369" s="36">
        <f>AM369+AN369</f>
        <v>0</v>
      </c>
      <c r="AT369" s="36">
        <f>G369/(100-AU369)*100</f>
        <v>0</v>
      </c>
      <c r="AU369" s="36">
        <v>0</v>
      </c>
      <c r="AV369" s="36">
        <f>L369</f>
        <v>2.4958124999999995</v>
      </c>
    </row>
    <row r="370" spans="4:6" ht="12.75">
      <c r="D370" s="17" t="s">
        <v>863</v>
      </c>
      <c r="F370" s="21">
        <v>166.3875</v>
      </c>
    </row>
    <row r="371" spans="3:13" ht="12.75">
      <c r="C371" s="14" t="s">
        <v>255</v>
      </c>
      <c r="D371" s="91" t="s">
        <v>864</v>
      </c>
      <c r="E371" s="92"/>
      <c r="F371" s="92"/>
      <c r="G371" s="92"/>
      <c r="H371" s="92"/>
      <c r="I371" s="92"/>
      <c r="J371" s="92"/>
      <c r="K371" s="92"/>
      <c r="L371" s="92"/>
      <c r="M371" s="92"/>
    </row>
    <row r="372" spans="1:48" ht="12.75">
      <c r="A372" s="4" t="s">
        <v>185</v>
      </c>
      <c r="B372" s="4"/>
      <c r="C372" s="4" t="s">
        <v>441</v>
      </c>
      <c r="D372" s="4" t="s">
        <v>865</v>
      </c>
      <c r="E372" s="4" t="s">
        <v>1019</v>
      </c>
      <c r="F372" s="20">
        <v>26.52</v>
      </c>
      <c r="G372" s="20">
        <v>0</v>
      </c>
      <c r="H372" s="20">
        <f>F372*AE372</f>
        <v>0</v>
      </c>
      <c r="I372" s="20">
        <f>J372-H372</f>
        <v>0</v>
      </c>
      <c r="J372" s="20">
        <f>F372*G372</f>
        <v>0</v>
      </c>
      <c r="K372" s="20">
        <v>0.00825</v>
      </c>
      <c r="L372" s="20">
        <f>F372*K372</f>
        <v>0.21879</v>
      </c>
      <c r="M372" s="32" t="s">
        <v>1040</v>
      </c>
      <c r="P372" s="36">
        <f>IF(AG372="5",J372,0)</f>
        <v>0</v>
      </c>
      <c r="R372" s="36">
        <f>IF(AG372="1",H372,0)</f>
        <v>0</v>
      </c>
      <c r="S372" s="36">
        <f>IF(AG372="1",I372,0)</f>
        <v>0</v>
      </c>
      <c r="T372" s="36">
        <f>IF(AG372="7",H372,0)</f>
        <v>0</v>
      </c>
      <c r="U372" s="36">
        <f>IF(AG372="7",I372,0)</f>
        <v>0</v>
      </c>
      <c r="V372" s="36">
        <f>IF(AG372="2",H372,0)</f>
        <v>0</v>
      </c>
      <c r="W372" s="36">
        <f>IF(AG372="2",I372,0)</f>
        <v>0</v>
      </c>
      <c r="X372" s="36">
        <f>IF(AG372="0",J372,0)</f>
        <v>0</v>
      </c>
      <c r="Y372" s="29"/>
      <c r="Z372" s="20">
        <f>IF(AD372=0,J372,0)</f>
        <v>0</v>
      </c>
      <c r="AA372" s="20">
        <f>IF(AD372=15,J372,0)</f>
        <v>0</v>
      </c>
      <c r="AB372" s="20">
        <f>IF(AD372=21,J372,0)</f>
        <v>0</v>
      </c>
      <c r="AD372" s="36">
        <v>21</v>
      </c>
      <c r="AE372" s="36">
        <f>G372*0.426323189260284</f>
        <v>0</v>
      </c>
      <c r="AF372" s="36">
        <f>G372*(1-0.426323189260284)</f>
        <v>0</v>
      </c>
      <c r="AG372" s="32" t="s">
        <v>13</v>
      </c>
      <c r="AM372" s="36">
        <f>F372*AE372</f>
        <v>0</v>
      </c>
      <c r="AN372" s="36">
        <f>F372*AF372</f>
        <v>0</v>
      </c>
      <c r="AO372" s="37" t="s">
        <v>1079</v>
      </c>
      <c r="AP372" s="37" t="s">
        <v>1098</v>
      </c>
      <c r="AQ372" s="29" t="s">
        <v>1101</v>
      </c>
      <c r="AS372" s="36">
        <f>AM372+AN372</f>
        <v>0</v>
      </c>
      <c r="AT372" s="36">
        <f>G372/(100-AU372)*100</f>
        <v>0</v>
      </c>
      <c r="AU372" s="36">
        <v>0</v>
      </c>
      <c r="AV372" s="36">
        <f>L372</f>
        <v>0.21879</v>
      </c>
    </row>
    <row r="373" spans="4:6" ht="12.75">
      <c r="D373" s="17" t="s">
        <v>866</v>
      </c>
      <c r="F373" s="21">
        <v>26.52</v>
      </c>
    </row>
    <row r="374" spans="3:13" ht="12.75">
      <c r="C374" s="14" t="s">
        <v>255</v>
      </c>
      <c r="D374" s="91" t="s">
        <v>867</v>
      </c>
      <c r="E374" s="92"/>
      <c r="F374" s="92"/>
      <c r="G374" s="92"/>
      <c r="H374" s="92"/>
      <c r="I374" s="92"/>
      <c r="J374" s="92"/>
      <c r="K374" s="92"/>
      <c r="L374" s="92"/>
      <c r="M374" s="92"/>
    </row>
    <row r="375" spans="1:48" ht="12.75">
      <c r="A375" s="4" t="s">
        <v>186</v>
      </c>
      <c r="B375" s="4"/>
      <c r="C375" s="4" t="s">
        <v>442</v>
      </c>
      <c r="D375" s="4" t="s">
        <v>868</v>
      </c>
      <c r="E375" s="4" t="s">
        <v>1019</v>
      </c>
      <c r="F375" s="20">
        <v>25.1</v>
      </c>
      <c r="G375" s="20">
        <v>0</v>
      </c>
      <c r="H375" s="20">
        <f>F375*AE375</f>
        <v>0</v>
      </c>
      <c r="I375" s="20">
        <f>J375-H375</f>
        <v>0</v>
      </c>
      <c r="J375" s="20">
        <f>F375*G375</f>
        <v>0</v>
      </c>
      <c r="K375" s="20">
        <v>0.01115</v>
      </c>
      <c r="L375" s="20">
        <f>F375*K375</f>
        <v>0.27986500000000003</v>
      </c>
      <c r="M375" s="32" t="s">
        <v>1040</v>
      </c>
      <c r="P375" s="36">
        <f>IF(AG375="5",J375,0)</f>
        <v>0</v>
      </c>
      <c r="R375" s="36">
        <f>IF(AG375="1",H375,0)</f>
        <v>0</v>
      </c>
      <c r="S375" s="36">
        <f>IF(AG375="1",I375,0)</f>
        <v>0</v>
      </c>
      <c r="T375" s="36">
        <f>IF(AG375="7",H375,0)</f>
        <v>0</v>
      </c>
      <c r="U375" s="36">
        <f>IF(AG375="7",I375,0)</f>
        <v>0</v>
      </c>
      <c r="V375" s="36">
        <f>IF(AG375="2",H375,0)</f>
        <v>0</v>
      </c>
      <c r="W375" s="36">
        <f>IF(AG375="2",I375,0)</f>
        <v>0</v>
      </c>
      <c r="X375" s="36">
        <f>IF(AG375="0",J375,0)</f>
        <v>0</v>
      </c>
      <c r="Y375" s="29"/>
      <c r="Z375" s="20">
        <f>IF(AD375=0,J375,0)</f>
        <v>0</v>
      </c>
      <c r="AA375" s="20">
        <f>IF(AD375=15,J375,0)</f>
        <v>0</v>
      </c>
      <c r="AB375" s="20">
        <f>IF(AD375=21,J375,0)</f>
        <v>0</v>
      </c>
      <c r="AD375" s="36">
        <v>21</v>
      </c>
      <c r="AE375" s="36">
        <f>G375*0.437008007027264</f>
        <v>0</v>
      </c>
      <c r="AF375" s="36">
        <f>G375*(1-0.437008007027264)</f>
        <v>0</v>
      </c>
      <c r="AG375" s="32" t="s">
        <v>13</v>
      </c>
      <c r="AM375" s="36">
        <f>F375*AE375</f>
        <v>0</v>
      </c>
      <c r="AN375" s="36">
        <f>F375*AF375</f>
        <v>0</v>
      </c>
      <c r="AO375" s="37" t="s">
        <v>1079</v>
      </c>
      <c r="AP375" s="37" t="s">
        <v>1098</v>
      </c>
      <c r="AQ375" s="29" t="s">
        <v>1101</v>
      </c>
      <c r="AS375" s="36">
        <f>AM375+AN375</f>
        <v>0</v>
      </c>
      <c r="AT375" s="36">
        <f>G375/(100-AU375)*100</f>
        <v>0</v>
      </c>
      <c r="AU375" s="36">
        <v>0</v>
      </c>
      <c r="AV375" s="36">
        <f>L375</f>
        <v>0.27986500000000003</v>
      </c>
    </row>
    <row r="376" spans="4:6" ht="12.75">
      <c r="D376" s="17" t="s">
        <v>869</v>
      </c>
      <c r="F376" s="21">
        <v>25.1</v>
      </c>
    </row>
    <row r="377" spans="3:13" ht="12.75">
      <c r="C377" s="14" t="s">
        <v>255</v>
      </c>
      <c r="D377" s="91" t="s">
        <v>870</v>
      </c>
      <c r="E377" s="92"/>
      <c r="F377" s="92"/>
      <c r="G377" s="92"/>
      <c r="H377" s="92"/>
      <c r="I377" s="92"/>
      <c r="J377" s="92"/>
      <c r="K377" s="92"/>
      <c r="L377" s="92"/>
      <c r="M377" s="92"/>
    </row>
    <row r="378" spans="1:48" ht="12.75">
      <c r="A378" s="4" t="s">
        <v>187</v>
      </c>
      <c r="B378" s="4"/>
      <c r="C378" s="4" t="s">
        <v>443</v>
      </c>
      <c r="D378" s="4" t="s">
        <v>871</v>
      </c>
      <c r="E378" s="4" t="s">
        <v>1016</v>
      </c>
      <c r="F378" s="20">
        <v>176.0928</v>
      </c>
      <c r="G378" s="20">
        <v>0</v>
      </c>
      <c r="H378" s="20">
        <f>F378*AE378</f>
        <v>0</v>
      </c>
      <c r="I378" s="20">
        <f>J378-H378</f>
        <v>0</v>
      </c>
      <c r="J378" s="20">
        <f>F378*G378</f>
        <v>0</v>
      </c>
      <c r="K378" s="20">
        <v>0.00403</v>
      </c>
      <c r="L378" s="20">
        <f>F378*K378</f>
        <v>0.709653984</v>
      </c>
      <c r="M378" s="32" t="s">
        <v>1040</v>
      </c>
      <c r="P378" s="36">
        <f>IF(AG378="5",J378,0)</f>
        <v>0</v>
      </c>
      <c r="R378" s="36">
        <f>IF(AG378="1",H378,0)</f>
        <v>0</v>
      </c>
      <c r="S378" s="36">
        <f>IF(AG378="1",I378,0)</f>
        <v>0</v>
      </c>
      <c r="T378" s="36">
        <f>IF(AG378="7",H378,0)</f>
        <v>0</v>
      </c>
      <c r="U378" s="36">
        <f>IF(AG378="7",I378,0)</f>
        <v>0</v>
      </c>
      <c r="V378" s="36">
        <f>IF(AG378="2",H378,0)</f>
        <v>0</v>
      </c>
      <c r="W378" s="36">
        <f>IF(AG378="2",I378,0)</f>
        <v>0</v>
      </c>
      <c r="X378" s="36">
        <f>IF(AG378="0",J378,0)</f>
        <v>0</v>
      </c>
      <c r="Y378" s="29"/>
      <c r="Z378" s="20">
        <f>IF(AD378=0,J378,0)</f>
        <v>0</v>
      </c>
      <c r="AA378" s="20">
        <f>IF(AD378=15,J378,0)</f>
        <v>0</v>
      </c>
      <c r="AB378" s="20">
        <f>IF(AD378=21,J378,0)</f>
        <v>0</v>
      </c>
      <c r="AD378" s="36">
        <v>21</v>
      </c>
      <c r="AE378" s="36">
        <f>G378*0.449019607843137</f>
        <v>0</v>
      </c>
      <c r="AF378" s="36">
        <f>G378*(1-0.449019607843137)</f>
        <v>0</v>
      </c>
      <c r="AG378" s="32" t="s">
        <v>13</v>
      </c>
      <c r="AM378" s="36">
        <f>F378*AE378</f>
        <v>0</v>
      </c>
      <c r="AN378" s="36">
        <f>F378*AF378</f>
        <v>0</v>
      </c>
      <c r="AO378" s="37" t="s">
        <v>1079</v>
      </c>
      <c r="AP378" s="37" t="s">
        <v>1098</v>
      </c>
      <c r="AQ378" s="29" t="s">
        <v>1101</v>
      </c>
      <c r="AS378" s="36">
        <f>AM378+AN378</f>
        <v>0</v>
      </c>
      <c r="AT378" s="36">
        <f>G378/(100-AU378)*100</f>
        <v>0</v>
      </c>
      <c r="AU378" s="36">
        <v>0</v>
      </c>
      <c r="AV378" s="36">
        <f>L378</f>
        <v>0.709653984</v>
      </c>
    </row>
    <row r="379" spans="4:6" ht="12.75">
      <c r="D379" s="17" t="s">
        <v>872</v>
      </c>
      <c r="F379" s="21">
        <v>176.0928</v>
      </c>
    </row>
    <row r="380" spans="3:13" ht="12.75">
      <c r="C380" s="14" t="s">
        <v>255</v>
      </c>
      <c r="D380" s="91" t="s">
        <v>873</v>
      </c>
      <c r="E380" s="92"/>
      <c r="F380" s="92"/>
      <c r="G380" s="92"/>
      <c r="H380" s="92"/>
      <c r="I380" s="92"/>
      <c r="J380" s="92"/>
      <c r="K380" s="92"/>
      <c r="L380" s="92"/>
      <c r="M380" s="92"/>
    </row>
    <row r="381" spans="1:48" ht="12.75">
      <c r="A381" s="4" t="s">
        <v>188</v>
      </c>
      <c r="B381" s="4"/>
      <c r="C381" s="4" t="s">
        <v>444</v>
      </c>
      <c r="D381" s="4" t="s">
        <v>874</v>
      </c>
      <c r="E381" s="4" t="s">
        <v>1016</v>
      </c>
      <c r="F381" s="20">
        <v>176.0928</v>
      </c>
      <c r="G381" s="20">
        <v>0</v>
      </c>
      <c r="H381" s="20">
        <f>F381*AE381</f>
        <v>0</v>
      </c>
      <c r="I381" s="20">
        <f>J381-H381</f>
        <v>0</v>
      </c>
      <c r="J381" s="20">
        <f>F381*G381</f>
        <v>0</v>
      </c>
      <c r="K381" s="20">
        <v>0.00145</v>
      </c>
      <c r="L381" s="20">
        <f>F381*K381</f>
        <v>0.25533456</v>
      </c>
      <c r="M381" s="32" t="s">
        <v>1040</v>
      </c>
      <c r="P381" s="36">
        <f>IF(AG381="5",J381,0)</f>
        <v>0</v>
      </c>
      <c r="R381" s="36">
        <f>IF(AG381="1",H381,0)</f>
        <v>0</v>
      </c>
      <c r="S381" s="36">
        <f>IF(AG381="1",I381,0)</f>
        <v>0</v>
      </c>
      <c r="T381" s="36">
        <f>IF(AG381="7",H381,0)</f>
        <v>0</v>
      </c>
      <c r="U381" s="36">
        <f>IF(AG381="7",I381,0)</f>
        <v>0</v>
      </c>
      <c r="V381" s="36">
        <f>IF(AG381="2",H381,0)</f>
        <v>0</v>
      </c>
      <c r="W381" s="36">
        <f>IF(AG381="2",I381,0)</f>
        <v>0</v>
      </c>
      <c r="X381" s="36">
        <f>IF(AG381="0",J381,0)</f>
        <v>0</v>
      </c>
      <c r="Y381" s="29"/>
      <c r="Z381" s="20">
        <f>IF(AD381=0,J381,0)</f>
        <v>0</v>
      </c>
      <c r="AA381" s="20">
        <f>IF(AD381=15,J381,0)</f>
        <v>0</v>
      </c>
      <c r="AB381" s="20">
        <f>IF(AD381=21,J381,0)</f>
        <v>0</v>
      </c>
      <c r="AD381" s="36">
        <v>21</v>
      </c>
      <c r="AE381" s="36">
        <f>G381*0.455769230769231</f>
        <v>0</v>
      </c>
      <c r="AF381" s="36">
        <f>G381*(1-0.455769230769231)</f>
        <v>0</v>
      </c>
      <c r="AG381" s="32" t="s">
        <v>13</v>
      </c>
      <c r="AM381" s="36">
        <f>F381*AE381</f>
        <v>0</v>
      </c>
      <c r="AN381" s="36">
        <f>F381*AF381</f>
        <v>0</v>
      </c>
      <c r="AO381" s="37" t="s">
        <v>1079</v>
      </c>
      <c r="AP381" s="37" t="s">
        <v>1098</v>
      </c>
      <c r="AQ381" s="29" t="s">
        <v>1101</v>
      </c>
      <c r="AS381" s="36">
        <f>AM381+AN381</f>
        <v>0</v>
      </c>
      <c r="AT381" s="36">
        <f>G381/(100-AU381)*100</f>
        <v>0</v>
      </c>
      <c r="AU381" s="36">
        <v>0</v>
      </c>
      <c r="AV381" s="36">
        <f>L381</f>
        <v>0.25533456</v>
      </c>
    </row>
    <row r="382" spans="4:6" ht="12.75">
      <c r="D382" s="17" t="s">
        <v>872</v>
      </c>
      <c r="F382" s="21">
        <v>176.0928</v>
      </c>
    </row>
    <row r="383" spans="3:13" ht="12.75">
      <c r="C383" s="14" t="s">
        <v>255</v>
      </c>
      <c r="D383" s="91" t="s">
        <v>873</v>
      </c>
      <c r="E383" s="92"/>
      <c r="F383" s="92"/>
      <c r="G383" s="92"/>
      <c r="H383" s="92"/>
      <c r="I383" s="92"/>
      <c r="J383" s="92"/>
      <c r="K383" s="92"/>
      <c r="L383" s="92"/>
      <c r="M383" s="92"/>
    </row>
    <row r="384" spans="1:48" ht="12.75">
      <c r="A384" s="4" t="s">
        <v>189</v>
      </c>
      <c r="B384" s="4"/>
      <c r="C384" s="4" t="s">
        <v>445</v>
      </c>
      <c r="D384" s="4" t="s">
        <v>875</v>
      </c>
      <c r="E384" s="4" t="s">
        <v>1016</v>
      </c>
      <c r="F384" s="20">
        <v>12.55</v>
      </c>
      <c r="G384" s="20">
        <v>0</v>
      </c>
      <c r="H384" s="20">
        <f>F384*AE384</f>
        <v>0</v>
      </c>
      <c r="I384" s="20">
        <f>J384-H384</f>
        <v>0</v>
      </c>
      <c r="J384" s="20">
        <f>F384*G384</f>
        <v>0</v>
      </c>
      <c r="K384" s="20">
        <v>0</v>
      </c>
      <c r="L384" s="20">
        <f>F384*K384</f>
        <v>0</v>
      </c>
      <c r="M384" s="32" t="s">
        <v>1040</v>
      </c>
      <c r="P384" s="36">
        <f>IF(AG384="5",J384,0)</f>
        <v>0</v>
      </c>
      <c r="R384" s="36">
        <f>IF(AG384="1",H384,0)</f>
        <v>0</v>
      </c>
      <c r="S384" s="36">
        <f>IF(AG384="1",I384,0)</f>
        <v>0</v>
      </c>
      <c r="T384" s="36">
        <f>IF(AG384="7",H384,0)</f>
        <v>0</v>
      </c>
      <c r="U384" s="36">
        <f>IF(AG384="7",I384,0)</f>
        <v>0</v>
      </c>
      <c r="V384" s="36">
        <f>IF(AG384="2",H384,0)</f>
        <v>0</v>
      </c>
      <c r="W384" s="36">
        <f>IF(AG384="2",I384,0)</f>
        <v>0</v>
      </c>
      <c r="X384" s="36">
        <f>IF(AG384="0",J384,0)</f>
        <v>0</v>
      </c>
      <c r="Y384" s="29"/>
      <c r="Z384" s="20">
        <f>IF(AD384=0,J384,0)</f>
        <v>0</v>
      </c>
      <c r="AA384" s="20">
        <f>IF(AD384=15,J384,0)</f>
        <v>0</v>
      </c>
      <c r="AB384" s="20">
        <f>IF(AD384=21,J384,0)</f>
        <v>0</v>
      </c>
      <c r="AD384" s="36">
        <v>21</v>
      </c>
      <c r="AE384" s="36">
        <f>G384*0</f>
        <v>0</v>
      </c>
      <c r="AF384" s="36">
        <f>G384*(1-0)</f>
        <v>0</v>
      </c>
      <c r="AG384" s="32" t="s">
        <v>13</v>
      </c>
      <c r="AM384" s="36">
        <f>F384*AE384</f>
        <v>0</v>
      </c>
      <c r="AN384" s="36">
        <f>F384*AF384</f>
        <v>0</v>
      </c>
      <c r="AO384" s="37" t="s">
        <v>1079</v>
      </c>
      <c r="AP384" s="37" t="s">
        <v>1098</v>
      </c>
      <c r="AQ384" s="29" t="s">
        <v>1101</v>
      </c>
      <c r="AS384" s="36">
        <f>AM384+AN384</f>
        <v>0</v>
      </c>
      <c r="AT384" s="36">
        <f>G384/(100-AU384)*100</f>
        <v>0</v>
      </c>
      <c r="AU384" s="36">
        <v>0</v>
      </c>
      <c r="AV384" s="36">
        <f>L384</f>
        <v>0</v>
      </c>
    </row>
    <row r="385" spans="4:6" ht="12.75">
      <c r="D385" s="17" t="s">
        <v>876</v>
      </c>
      <c r="F385" s="21">
        <v>12.55</v>
      </c>
    </row>
    <row r="386" spans="1:48" ht="12.75">
      <c r="A386" s="6" t="s">
        <v>190</v>
      </c>
      <c r="B386" s="6"/>
      <c r="C386" s="6" t="s">
        <v>446</v>
      </c>
      <c r="D386" s="6" t="s">
        <v>877</v>
      </c>
      <c r="E386" s="6" t="s">
        <v>1014</v>
      </c>
      <c r="F386" s="22">
        <v>0.43373</v>
      </c>
      <c r="G386" s="22">
        <v>0</v>
      </c>
      <c r="H386" s="22">
        <f>F386*AE386</f>
        <v>0</v>
      </c>
      <c r="I386" s="22">
        <f>J386-H386</f>
        <v>0</v>
      </c>
      <c r="J386" s="22">
        <f>F386*G386</f>
        <v>0</v>
      </c>
      <c r="K386" s="22">
        <v>0.55</v>
      </c>
      <c r="L386" s="22">
        <f>F386*K386</f>
        <v>0.23855150000000003</v>
      </c>
      <c r="M386" s="33" t="s">
        <v>1040</v>
      </c>
      <c r="P386" s="36">
        <f>IF(AG386="5",J386,0)</f>
        <v>0</v>
      </c>
      <c r="R386" s="36">
        <f>IF(AG386="1",H386,0)</f>
        <v>0</v>
      </c>
      <c r="S386" s="36">
        <f>IF(AG386="1",I386,0)</f>
        <v>0</v>
      </c>
      <c r="T386" s="36">
        <f>IF(AG386="7",H386,0)</f>
        <v>0</v>
      </c>
      <c r="U386" s="36">
        <f>IF(AG386="7",I386,0)</f>
        <v>0</v>
      </c>
      <c r="V386" s="36">
        <f>IF(AG386="2",H386,0)</f>
        <v>0</v>
      </c>
      <c r="W386" s="36">
        <f>IF(AG386="2",I386,0)</f>
        <v>0</v>
      </c>
      <c r="X386" s="36">
        <f>IF(AG386="0",J386,0)</f>
        <v>0</v>
      </c>
      <c r="Y386" s="29"/>
      <c r="Z386" s="22">
        <f>IF(AD386=0,J386,0)</f>
        <v>0</v>
      </c>
      <c r="AA386" s="22">
        <f>IF(AD386=15,J386,0)</f>
        <v>0</v>
      </c>
      <c r="AB386" s="22">
        <f>IF(AD386=21,J386,0)</f>
        <v>0</v>
      </c>
      <c r="AD386" s="36">
        <v>21</v>
      </c>
      <c r="AE386" s="36">
        <f>G386*1</f>
        <v>0</v>
      </c>
      <c r="AF386" s="36">
        <f>G386*(1-1)</f>
        <v>0</v>
      </c>
      <c r="AG386" s="33" t="s">
        <v>13</v>
      </c>
      <c r="AM386" s="36">
        <f>F386*AE386</f>
        <v>0</v>
      </c>
      <c r="AN386" s="36">
        <f>F386*AF386</f>
        <v>0</v>
      </c>
      <c r="AO386" s="37" t="s">
        <v>1079</v>
      </c>
      <c r="AP386" s="37" t="s">
        <v>1098</v>
      </c>
      <c r="AQ386" s="29" t="s">
        <v>1101</v>
      </c>
      <c r="AS386" s="36">
        <f>AM386+AN386</f>
        <v>0</v>
      </c>
      <c r="AT386" s="36">
        <f>G386/(100-AU386)*100</f>
        <v>0</v>
      </c>
      <c r="AU386" s="36">
        <v>0</v>
      </c>
      <c r="AV386" s="36">
        <f>L386</f>
        <v>0.23855150000000003</v>
      </c>
    </row>
    <row r="387" spans="4:6" ht="12.75">
      <c r="D387" s="17" t="s">
        <v>878</v>
      </c>
      <c r="F387" s="21">
        <v>0.4016</v>
      </c>
    </row>
    <row r="388" spans="4:6" ht="12.75">
      <c r="D388" s="17" t="s">
        <v>879</v>
      </c>
      <c r="F388" s="21">
        <v>0.03213</v>
      </c>
    </row>
    <row r="389" spans="1:48" ht="12.75">
      <c r="A389" s="4" t="s">
        <v>191</v>
      </c>
      <c r="B389" s="4"/>
      <c r="C389" s="4" t="s">
        <v>447</v>
      </c>
      <c r="D389" s="4" t="s">
        <v>880</v>
      </c>
      <c r="E389" s="4" t="s">
        <v>1015</v>
      </c>
      <c r="F389" s="20">
        <v>4.19801</v>
      </c>
      <c r="G389" s="20">
        <v>0</v>
      </c>
      <c r="H389" s="20">
        <f>F389*AE389</f>
        <v>0</v>
      </c>
      <c r="I389" s="20">
        <f>J389-H389</f>
        <v>0</v>
      </c>
      <c r="J389" s="20">
        <f>F389*G389</f>
        <v>0</v>
      </c>
      <c r="K389" s="20">
        <v>0</v>
      </c>
      <c r="L389" s="20">
        <f>F389*K389</f>
        <v>0</v>
      </c>
      <c r="M389" s="32" t="s">
        <v>1040</v>
      </c>
      <c r="P389" s="36">
        <f>IF(AG389="5",J389,0)</f>
        <v>0</v>
      </c>
      <c r="R389" s="36">
        <f>IF(AG389="1",H389,0)</f>
        <v>0</v>
      </c>
      <c r="S389" s="36">
        <f>IF(AG389="1",I389,0)</f>
        <v>0</v>
      </c>
      <c r="T389" s="36">
        <f>IF(AG389="7",H389,0)</f>
        <v>0</v>
      </c>
      <c r="U389" s="36">
        <f>IF(AG389="7",I389,0)</f>
        <v>0</v>
      </c>
      <c r="V389" s="36">
        <f>IF(AG389="2",H389,0)</f>
        <v>0</v>
      </c>
      <c r="W389" s="36">
        <f>IF(AG389="2",I389,0)</f>
        <v>0</v>
      </c>
      <c r="X389" s="36">
        <f>IF(AG389="0",J389,0)</f>
        <v>0</v>
      </c>
      <c r="Y389" s="29"/>
      <c r="Z389" s="20">
        <f>IF(AD389=0,J389,0)</f>
        <v>0</v>
      </c>
      <c r="AA389" s="20">
        <f>IF(AD389=15,J389,0)</f>
        <v>0</v>
      </c>
      <c r="AB389" s="20">
        <f>IF(AD389=21,J389,0)</f>
        <v>0</v>
      </c>
      <c r="AD389" s="36">
        <v>21</v>
      </c>
      <c r="AE389" s="36">
        <f>G389*0</f>
        <v>0</v>
      </c>
      <c r="AF389" s="36">
        <f>G389*(1-0)</f>
        <v>0</v>
      </c>
      <c r="AG389" s="32" t="s">
        <v>11</v>
      </c>
      <c r="AM389" s="36">
        <f>F389*AE389</f>
        <v>0</v>
      </c>
      <c r="AN389" s="36">
        <f>F389*AF389</f>
        <v>0</v>
      </c>
      <c r="AO389" s="37" t="s">
        <v>1079</v>
      </c>
      <c r="AP389" s="37" t="s">
        <v>1098</v>
      </c>
      <c r="AQ389" s="29" t="s">
        <v>1101</v>
      </c>
      <c r="AS389" s="36">
        <f>AM389+AN389</f>
        <v>0</v>
      </c>
      <c r="AT389" s="36">
        <f>G389/(100-AU389)*100</f>
        <v>0</v>
      </c>
      <c r="AU389" s="36">
        <v>0</v>
      </c>
      <c r="AV389" s="36">
        <f>L389</f>
        <v>0</v>
      </c>
    </row>
    <row r="390" spans="1:37" ht="12.75">
      <c r="A390" s="5"/>
      <c r="B390" s="13"/>
      <c r="C390" s="13" t="s">
        <v>448</v>
      </c>
      <c r="D390" s="93" t="s">
        <v>881</v>
      </c>
      <c r="E390" s="94"/>
      <c r="F390" s="94"/>
      <c r="G390" s="94"/>
      <c r="H390" s="39">
        <f>SUM(H391:H417)</f>
        <v>0</v>
      </c>
      <c r="I390" s="39">
        <f>SUM(I391:I417)</f>
        <v>0</v>
      </c>
      <c r="J390" s="39">
        <f>H390+I390</f>
        <v>0</v>
      </c>
      <c r="K390" s="29"/>
      <c r="L390" s="39">
        <f>SUM(L391:L417)</f>
        <v>1.0242378112000001</v>
      </c>
      <c r="M390" s="29"/>
      <c r="Y390" s="29"/>
      <c r="AI390" s="39">
        <f>SUM(Z391:Z417)</f>
        <v>0</v>
      </c>
      <c r="AJ390" s="39">
        <f>SUM(AA391:AA417)</f>
        <v>0</v>
      </c>
      <c r="AK390" s="39">
        <f>SUM(AB391:AB417)</f>
        <v>0</v>
      </c>
    </row>
    <row r="391" spans="1:48" ht="12.75">
      <c r="A391" s="4" t="s">
        <v>192</v>
      </c>
      <c r="B391" s="4"/>
      <c r="C391" s="4" t="s">
        <v>449</v>
      </c>
      <c r="D391" s="4" t="s">
        <v>882</v>
      </c>
      <c r="E391" s="4" t="s">
        <v>1019</v>
      </c>
      <c r="F391" s="20">
        <v>6.2</v>
      </c>
      <c r="G391" s="20">
        <v>0</v>
      </c>
      <c r="H391" s="20">
        <f>F391*AE391</f>
        <v>0</v>
      </c>
      <c r="I391" s="20">
        <f>J391-H391</f>
        <v>0</v>
      </c>
      <c r="J391" s="20">
        <f>F391*G391</f>
        <v>0</v>
      </c>
      <c r="K391" s="20">
        <v>0.00269</v>
      </c>
      <c r="L391" s="20">
        <f>F391*K391</f>
        <v>0.016678000000000002</v>
      </c>
      <c r="M391" s="32" t="s">
        <v>1040</v>
      </c>
      <c r="P391" s="36">
        <f>IF(AG391="5",J391,0)</f>
        <v>0</v>
      </c>
      <c r="R391" s="36">
        <f>IF(AG391="1",H391,0)</f>
        <v>0</v>
      </c>
      <c r="S391" s="36">
        <f>IF(AG391="1",I391,0)</f>
        <v>0</v>
      </c>
      <c r="T391" s="36">
        <f>IF(AG391="7",H391,0)</f>
        <v>0</v>
      </c>
      <c r="U391" s="36">
        <f>IF(AG391="7",I391,0)</f>
        <v>0</v>
      </c>
      <c r="V391" s="36">
        <f>IF(AG391="2",H391,0)</f>
        <v>0</v>
      </c>
      <c r="W391" s="36">
        <f>IF(AG391="2",I391,0)</f>
        <v>0</v>
      </c>
      <c r="X391" s="36">
        <f>IF(AG391="0",J391,0)</f>
        <v>0</v>
      </c>
      <c r="Y391" s="29"/>
      <c r="Z391" s="20">
        <f>IF(AD391=0,J391,0)</f>
        <v>0</v>
      </c>
      <c r="AA391" s="20">
        <f>IF(AD391=15,J391,0)</f>
        <v>0</v>
      </c>
      <c r="AB391" s="20">
        <f>IF(AD391=21,J391,0)</f>
        <v>0</v>
      </c>
      <c r="AD391" s="36">
        <v>21</v>
      </c>
      <c r="AE391" s="36">
        <f>G391*0.236273022751896</f>
        <v>0</v>
      </c>
      <c r="AF391" s="36">
        <f>G391*(1-0.236273022751896)</f>
        <v>0</v>
      </c>
      <c r="AG391" s="32" t="s">
        <v>13</v>
      </c>
      <c r="AM391" s="36">
        <f>F391*AE391</f>
        <v>0</v>
      </c>
      <c r="AN391" s="36">
        <f>F391*AF391</f>
        <v>0</v>
      </c>
      <c r="AO391" s="37" t="s">
        <v>1080</v>
      </c>
      <c r="AP391" s="37" t="s">
        <v>1098</v>
      </c>
      <c r="AQ391" s="29" t="s">
        <v>1101</v>
      </c>
      <c r="AS391" s="36">
        <f>AM391+AN391</f>
        <v>0</v>
      </c>
      <c r="AT391" s="36">
        <f>G391/(100-AU391)*100</f>
        <v>0</v>
      </c>
      <c r="AU391" s="36">
        <v>0</v>
      </c>
      <c r="AV391" s="36">
        <f>L391</f>
        <v>0.016678000000000002</v>
      </c>
    </row>
    <row r="392" spans="4:6" ht="12.75">
      <c r="D392" s="17" t="s">
        <v>883</v>
      </c>
      <c r="F392" s="21">
        <v>6.2</v>
      </c>
    </row>
    <row r="393" spans="1:48" ht="12.75">
      <c r="A393" s="4" t="s">
        <v>193</v>
      </c>
      <c r="B393" s="4"/>
      <c r="C393" s="4" t="s">
        <v>450</v>
      </c>
      <c r="D393" s="4" t="s">
        <v>884</v>
      </c>
      <c r="E393" s="4" t="s">
        <v>1016</v>
      </c>
      <c r="F393" s="20">
        <v>176.0928</v>
      </c>
      <c r="G393" s="20">
        <v>0</v>
      </c>
      <c r="H393" s="20">
        <f>F393*AE393</f>
        <v>0</v>
      </c>
      <c r="I393" s="20">
        <f>J393-H393</f>
        <v>0</v>
      </c>
      <c r="J393" s="20">
        <f>F393*G393</f>
        <v>0</v>
      </c>
      <c r="K393" s="20">
        <v>0</v>
      </c>
      <c r="L393" s="20">
        <f>F393*K393</f>
        <v>0</v>
      </c>
      <c r="M393" s="32"/>
      <c r="P393" s="36">
        <f>IF(AG393="5",J393,0)</f>
        <v>0</v>
      </c>
      <c r="R393" s="36">
        <f>IF(AG393="1",H393,0)</f>
        <v>0</v>
      </c>
      <c r="S393" s="36">
        <f>IF(AG393="1",I393,0)</f>
        <v>0</v>
      </c>
      <c r="T393" s="36">
        <f>IF(AG393="7",H393,0)</f>
        <v>0</v>
      </c>
      <c r="U393" s="36">
        <f>IF(AG393="7",I393,0)</f>
        <v>0</v>
      </c>
      <c r="V393" s="36">
        <f>IF(AG393="2",H393,0)</f>
        <v>0</v>
      </c>
      <c r="W393" s="36">
        <f>IF(AG393="2",I393,0)</f>
        <v>0</v>
      </c>
      <c r="X393" s="36">
        <f>IF(AG393="0",J393,0)</f>
        <v>0</v>
      </c>
      <c r="Y393" s="29"/>
      <c r="Z393" s="20">
        <f>IF(AD393=0,J393,0)</f>
        <v>0</v>
      </c>
      <c r="AA393" s="20">
        <f>IF(AD393=15,J393,0)</f>
        <v>0</v>
      </c>
      <c r="AB393" s="20">
        <f>IF(AD393=21,J393,0)</f>
        <v>0</v>
      </c>
      <c r="AD393" s="36">
        <v>21</v>
      </c>
      <c r="AE393" s="36">
        <f>G393*1</f>
        <v>0</v>
      </c>
      <c r="AF393" s="36">
        <f>G393*(1-1)</f>
        <v>0</v>
      </c>
      <c r="AG393" s="32" t="s">
        <v>13</v>
      </c>
      <c r="AM393" s="36">
        <f>F393*AE393</f>
        <v>0</v>
      </c>
      <c r="AN393" s="36">
        <f>F393*AF393</f>
        <v>0</v>
      </c>
      <c r="AO393" s="37" t="s">
        <v>1080</v>
      </c>
      <c r="AP393" s="37" t="s">
        <v>1098</v>
      </c>
      <c r="AQ393" s="29" t="s">
        <v>1101</v>
      </c>
      <c r="AS393" s="36">
        <f>AM393+AN393</f>
        <v>0</v>
      </c>
      <c r="AT393" s="36">
        <f>G393/(100-AU393)*100</f>
        <v>0</v>
      </c>
      <c r="AU393" s="36">
        <v>0</v>
      </c>
      <c r="AV393" s="36">
        <f>L393</f>
        <v>0</v>
      </c>
    </row>
    <row r="394" spans="4:6" ht="12.75">
      <c r="D394" s="17" t="s">
        <v>872</v>
      </c>
      <c r="F394" s="21">
        <v>176.0928</v>
      </c>
    </row>
    <row r="395" spans="1:48" ht="12.75">
      <c r="A395" s="6" t="s">
        <v>194</v>
      </c>
      <c r="B395" s="6"/>
      <c r="C395" s="6" t="s">
        <v>451</v>
      </c>
      <c r="D395" s="6" t="s">
        <v>885</v>
      </c>
      <c r="E395" s="6" t="s">
        <v>1016</v>
      </c>
      <c r="F395" s="22">
        <v>176.0928</v>
      </c>
      <c r="G395" s="22">
        <v>0</v>
      </c>
      <c r="H395" s="22">
        <f>F395*AE395</f>
        <v>0</v>
      </c>
      <c r="I395" s="22">
        <f>J395-H395</f>
        <v>0</v>
      </c>
      <c r="J395" s="22">
        <f>F395*G395</f>
        <v>0</v>
      </c>
      <c r="K395" s="22">
        <v>0.0047</v>
      </c>
      <c r="L395" s="22">
        <f>F395*K395</f>
        <v>0.8276361600000001</v>
      </c>
      <c r="M395" s="33" t="s">
        <v>1040</v>
      </c>
      <c r="P395" s="36">
        <f>IF(AG395="5",J395,0)</f>
        <v>0</v>
      </c>
      <c r="R395" s="36">
        <f>IF(AG395="1",H395,0)</f>
        <v>0</v>
      </c>
      <c r="S395" s="36">
        <f>IF(AG395="1",I395,0)</f>
        <v>0</v>
      </c>
      <c r="T395" s="36">
        <f>IF(AG395="7",H395,0)</f>
        <v>0</v>
      </c>
      <c r="U395" s="36">
        <f>IF(AG395="7",I395,0)</f>
        <v>0</v>
      </c>
      <c r="V395" s="36">
        <f>IF(AG395="2",H395,0)</f>
        <v>0</v>
      </c>
      <c r="W395" s="36">
        <f>IF(AG395="2",I395,0)</f>
        <v>0</v>
      </c>
      <c r="X395" s="36">
        <f>IF(AG395="0",J395,0)</f>
        <v>0</v>
      </c>
      <c r="Y395" s="29"/>
      <c r="Z395" s="22">
        <f>IF(AD395=0,J395,0)</f>
        <v>0</v>
      </c>
      <c r="AA395" s="22">
        <f>IF(AD395=15,J395,0)</f>
        <v>0</v>
      </c>
      <c r="AB395" s="22">
        <f>IF(AD395=21,J395,0)</f>
        <v>0</v>
      </c>
      <c r="AD395" s="36">
        <v>21</v>
      </c>
      <c r="AE395" s="36">
        <f>G395*1</f>
        <v>0</v>
      </c>
      <c r="AF395" s="36">
        <f>G395*(1-1)</f>
        <v>0</v>
      </c>
      <c r="AG395" s="33" t="s">
        <v>13</v>
      </c>
      <c r="AM395" s="36">
        <f>F395*AE395</f>
        <v>0</v>
      </c>
      <c r="AN395" s="36">
        <f>F395*AF395</f>
        <v>0</v>
      </c>
      <c r="AO395" s="37" t="s">
        <v>1080</v>
      </c>
      <c r="AP395" s="37" t="s">
        <v>1098</v>
      </c>
      <c r="AQ395" s="29" t="s">
        <v>1101</v>
      </c>
      <c r="AS395" s="36">
        <f>AM395+AN395</f>
        <v>0</v>
      </c>
      <c r="AT395" s="36">
        <f>G395/(100-AU395)*100</f>
        <v>0</v>
      </c>
      <c r="AU395" s="36">
        <v>0</v>
      </c>
      <c r="AV395" s="36">
        <f>L395</f>
        <v>0.8276361600000001</v>
      </c>
    </row>
    <row r="396" spans="4:6" ht="12.75">
      <c r="D396" s="17" t="s">
        <v>872</v>
      </c>
      <c r="F396" s="21">
        <v>176.0928</v>
      </c>
    </row>
    <row r="397" spans="3:13" ht="12.75">
      <c r="C397" s="14" t="s">
        <v>255</v>
      </c>
      <c r="D397" s="91" t="s">
        <v>886</v>
      </c>
      <c r="E397" s="92"/>
      <c r="F397" s="92"/>
      <c r="G397" s="92"/>
      <c r="H397" s="92"/>
      <c r="I397" s="92"/>
      <c r="J397" s="92"/>
      <c r="K397" s="92"/>
      <c r="L397" s="92"/>
      <c r="M397" s="92"/>
    </row>
    <row r="398" spans="1:48" ht="12.75">
      <c r="A398" s="6" t="s">
        <v>195</v>
      </c>
      <c r="B398" s="6"/>
      <c r="C398" s="6" t="s">
        <v>452</v>
      </c>
      <c r="D398" s="6" t="s">
        <v>887</v>
      </c>
      <c r="E398" s="6" t="s">
        <v>1018</v>
      </c>
      <c r="F398" s="22">
        <v>6.64</v>
      </c>
      <c r="G398" s="22">
        <v>0</v>
      </c>
      <c r="H398" s="22">
        <f>F398*AE398</f>
        <v>0</v>
      </c>
      <c r="I398" s="22">
        <f>J398-H398</f>
        <v>0</v>
      </c>
      <c r="J398" s="22">
        <f>F398*G398</f>
        <v>0</v>
      </c>
      <c r="K398" s="22">
        <v>0.0034</v>
      </c>
      <c r="L398" s="22">
        <f>F398*K398</f>
        <v>0.022576</v>
      </c>
      <c r="M398" s="33" t="s">
        <v>1040</v>
      </c>
      <c r="P398" s="36">
        <f>IF(AG398="5",J398,0)</f>
        <v>0</v>
      </c>
      <c r="R398" s="36">
        <f>IF(AG398="1",H398,0)</f>
        <v>0</v>
      </c>
      <c r="S398" s="36">
        <f>IF(AG398="1",I398,0)</f>
        <v>0</v>
      </c>
      <c r="T398" s="36">
        <f>IF(AG398="7",H398,0)</f>
        <v>0</v>
      </c>
      <c r="U398" s="36">
        <f>IF(AG398="7",I398,0)</f>
        <v>0</v>
      </c>
      <c r="V398" s="36">
        <f>IF(AG398="2",H398,0)</f>
        <v>0</v>
      </c>
      <c r="W398" s="36">
        <f>IF(AG398="2",I398,0)</f>
        <v>0</v>
      </c>
      <c r="X398" s="36">
        <f>IF(AG398="0",J398,0)</f>
        <v>0</v>
      </c>
      <c r="Y398" s="29"/>
      <c r="Z398" s="22">
        <f>IF(AD398=0,J398,0)</f>
        <v>0</v>
      </c>
      <c r="AA398" s="22">
        <f>IF(AD398=15,J398,0)</f>
        <v>0</v>
      </c>
      <c r="AB398" s="22">
        <f>IF(AD398=21,J398,0)</f>
        <v>0</v>
      </c>
      <c r="AD398" s="36">
        <v>21</v>
      </c>
      <c r="AE398" s="36">
        <f>G398*1</f>
        <v>0</v>
      </c>
      <c r="AF398" s="36">
        <f>G398*(1-1)</f>
        <v>0</v>
      </c>
      <c r="AG398" s="33" t="s">
        <v>13</v>
      </c>
      <c r="AM398" s="36">
        <f>F398*AE398</f>
        <v>0</v>
      </c>
      <c r="AN398" s="36">
        <f>F398*AF398</f>
        <v>0</v>
      </c>
      <c r="AO398" s="37" t="s">
        <v>1080</v>
      </c>
      <c r="AP398" s="37" t="s">
        <v>1098</v>
      </c>
      <c r="AQ398" s="29" t="s">
        <v>1101</v>
      </c>
      <c r="AS398" s="36">
        <f>AM398+AN398</f>
        <v>0</v>
      </c>
      <c r="AT398" s="36">
        <f>G398/(100-AU398)*100</f>
        <v>0</v>
      </c>
      <c r="AU398" s="36">
        <v>0</v>
      </c>
      <c r="AV398" s="36">
        <f>L398</f>
        <v>0.022576</v>
      </c>
    </row>
    <row r="399" spans="4:6" ht="12.75">
      <c r="D399" s="17" t="s">
        <v>888</v>
      </c>
      <c r="F399" s="21">
        <v>6.64</v>
      </c>
    </row>
    <row r="400" spans="1:48" ht="12.75">
      <c r="A400" s="6" t="s">
        <v>196</v>
      </c>
      <c r="B400" s="6"/>
      <c r="C400" s="6" t="s">
        <v>453</v>
      </c>
      <c r="D400" s="6" t="s">
        <v>889</v>
      </c>
      <c r="E400" s="6" t="s">
        <v>1018</v>
      </c>
      <c r="F400" s="22">
        <v>2</v>
      </c>
      <c r="G400" s="22">
        <v>0</v>
      </c>
      <c r="H400" s="22">
        <f>F400*AE400</f>
        <v>0</v>
      </c>
      <c r="I400" s="22">
        <f>J400-H400</f>
        <v>0</v>
      </c>
      <c r="J400" s="22">
        <f>F400*G400</f>
        <v>0</v>
      </c>
      <c r="K400" s="22">
        <v>0.001</v>
      </c>
      <c r="L400" s="22">
        <f>F400*K400</f>
        <v>0.002</v>
      </c>
      <c r="M400" s="33" t="s">
        <v>1040</v>
      </c>
      <c r="P400" s="36">
        <f>IF(AG400="5",J400,0)</f>
        <v>0</v>
      </c>
      <c r="R400" s="36">
        <f>IF(AG400="1",H400,0)</f>
        <v>0</v>
      </c>
      <c r="S400" s="36">
        <f>IF(AG400="1",I400,0)</f>
        <v>0</v>
      </c>
      <c r="T400" s="36">
        <f>IF(AG400="7",H400,0)</f>
        <v>0</v>
      </c>
      <c r="U400" s="36">
        <f>IF(AG400="7",I400,0)</f>
        <v>0</v>
      </c>
      <c r="V400" s="36">
        <f>IF(AG400="2",H400,0)</f>
        <v>0</v>
      </c>
      <c r="W400" s="36">
        <f>IF(AG400="2",I400,0)</f>
        <v>0</v>
      </c>
      <c r="X400" s="36">
        <f>IF(AG400="0",J400,0)</f>
        <v>0</v>
      </c>
      <c r="Y400" s="29"/>
      <c r="Z400" s="22">
        <f>IF(AD400=0,J400,0)</f>
        <v>0</v>
      </c>
      <c r="AA400" s="22">
        <f>IF(AD400=15,J400,0)</f>
        <v>0</v>
      </c>
      <c r="AB400" s="22">
        <f>IF(AD400=21,J400,0)</f>
        <v>0</v>
      </c>
      <c r="AD400" s="36">
        <v>21</v>
      </c>
      <c r="AE400" s="36">
        <f>G400*1</f>
        <v>0</v>
      </c>
      <c r="AF400" s="36">
        <f>G400*(1-1)</f>
        <v>0</v>
      </c>
      <c r="AG400" s="33" t="s">
        <v>13</v>
      </c>
      <c r="AM400" s="36">
        <f>F400*AE400</f>
        <v>0</v>
      </c>
      <c r="AN400" s="36">
        <f>F400*AF400</f>
        <v>0</v>
      </c>
      <c r="AO400" s="37" t="s">
        <v>1080</v>
      </c>
      <c r="AP400" s="37" t="s">
        <v>1098</v>
      </c>
      <c r="AQ400" s="29" t="s">
        <v>1101</v>
      </c>
      <c r="AS400" s="36">
        <f>AM400+AN400</f>
        <v>0</v>
      </c>
      <c r="AT400" s="36">
        <f>G400/(100-AU400)*100</f>
        <v>0</v>
      </c>
      <c r="AU400" s="36">
        <v>0</v>
      </c>
      <c r="AV400" s="36">
        <f>L400</f>
        <v>0.002</v>
      </c>
    </row>
    <row r="401" spans="1:48" ht="12.75">
      <c r="A401" s="6" t="s">
        <v>197</v>
      </c>
      <c r="B401" s="6"/>
      <c r="C401" s="6" t="s">
        <v>454</v>
      </c>
      <c r="D401" s="6" t="s">
        <v>890</v>
      </c>
      <c r="E401" s="6" t="s">
        <v>1018</v>
      </c>
      <c r="F401" s="22">
        <v>13.95789</v>
      </c>
      <c r="G401" s="22">
        <v>0</v>
      </c>
      <c r="H401" s="22">
        <f>F401*AE401</f>
        <v>0</v>
      </c>
      <c r="I401" s="22">
        <f>J401-H401</f>
        <v>0</v>
      </c>
      <c r="J401" s="22">
        <f>F401*G401</f>
        <v>0</v>
      </c>
      <c r="K401" s="22">
        <v>0.002</v>
      </c>
      <c r="L401" s="22">
        <f>F401*K401</f>
        <v>0.02791578</v>
      </c>
      <c r="M401" s="33" t="s">
        <v>1040</v>
      </c>
      <c r="P401" s="36">
        <f>IF(AG401="5",J401,0)</f>
        <v>0</v>
      </c>
      <c r="R401" s="36">
        <f>IF(AG401="1",H401,0)</f>
        <v>0</v>
      </c>
      <c r="S401" s="36">
        <f>IF(AG401="1",I401,0)</f>
        <v>0</v>
      </c>
      <c r="T401" s="36">
        <f>IF(AG401="7",H401,0)</f>
        <v>0</v>
      </c>
      <c r="U401" s="36">
        <f>IF(AG401="7",I401,0)</f>
        <v>0</v>
      </c>
      <c r="V401" s="36">
        <f>IF(AG401="2",H401,0)</f>
        <v>0</v>
      </c>
      <c r="W401" s="36">
        <f>IF(AG401="2",I401,0)</f>
        <v>0</v>
      </c>
      <c r="X401" s="36">
        <f>IF(AG401="0",J401,0)</f>
        <v>0</v>
      </c>
      <c r="Y401" s="29"/>
      <c r="Z401" s="22">
        <f>IF(AD401=0,J401,0)</f>
        <v>0</v>
      </c>
      <c r="AA401" s="22">
        <f>IF(AD401=15,J401,0)</f>
        <v>0</v>
      </c>
      <c r="AB401" s="22">
        <f>IF(AD401=21,J401,0)</f>
        <v>0</v>
      </c>
      <c r="AD401" s="36">
        <v>21</v>
      </c>
      <c r="AE401" s="36">
        <f>G401*1</f>
        <v>0</v>
      </c>
      <c r="AF401" s="36">
        <f>G401*(1-1)</f>
        <v>0</v>
      </c>
      <c r="AG401" s="33" t="s">
        <v>13</v>
      </c>
      <c r="AM401" s="36">
        <f>F401*AE401</f>
        <v>0</v>
      </c>
      <c r="AN401" s="36">
        <f>F401*AF401</f>
        <v>0</v>
      </c>
      <c r="AO401" s="37" t="s">
        <v>1080</v>
      </c>
      <c r="AP401" s="37" t="s">
        <v>1098</v>
      </c>
      <c r="AQ401" s="29" t="s">
        <v>1101</v>
      </c>
      <c r="AS401" s="36">
        <f>AM401+AN401</f>
        <v>0</v>
      </c>
      <c r="AT401" s="36">
        <f>G401/(100-AU401)*100</f>
        <v>0</v>
      </c>
      <c r="AU401" s="36">
        <v>0</v>
      </c>
      <c r="AV401" s="36">
        <f>L401</f>
        <v>0.02791578</v>
      </c>
    </row>
    <row r="402" spans="4:6" ht="12.75">
      <c r="D402" s="17" t="s">
        <v>891</v>
      </c>
      <c r="F402" s="21">
        <v>13.95789</v>
      </c>
    </row>
    <row r="403" spans="1:48" ht="12.75">
      <c r="A403" s="6" t="s">
        <v>198</v>
      </c>
      <c r="B403" s="6"/>
      <c r="C403" s="6" t="s">
        <v>455</v>
      </c>
      <c r="D403" s="6" t="s">
        <v>892</v>
      </c>
      <c r="E403" s="6" t="s">
        <v>1018</v>
      </c>
      <c r="F403" s="22">
        <v>2.656</v>
      </c>
      <c r="G403" s="22">
        <v>0</v>
      </c>
      <c r="H403" s="22">
        <f>F403*AE403</f>
        <v>0</v>
      </c>
      <c r="I403" s="22">
        <f>J403-H403</f>
        <v>0</v>
      </c>
      <c r="J403" s="22">
        <f>F403*G403</f>
        <v>0</v>
      </c>
      <c r="K403" s="22">
        <v>0.002</v>
      </c>
      <c r="L403" s="22">
        <f>F403*K403</f>
        <v>0.005312000000000001</v>
      </c>
      <c r="M403" s="33" t="s">
        <v>1040</v>
      </c>
      <c r="P403" s="36">
        <f>IF(AG403="5",J403,0)</f>
        <v>0</v>
      </c>
      <c r="R403" s="36">
        <f>IF(AG403="1",H403,0)</f>
        <v>0</v>
      </c>
      <c r="S403" s="36">
        <f>IF(AG403="1",I403,0)</f>
        <v>0</v>
      </c>
      <c r="T403" s="36">
        <f>IF(AG403="7",H403,0)</f>
        <v>0</v>
      </c>
      <c r="U403" s="36">
        <f>IF(AG403="7",I403,0)</f>
        <v>0</v>
      </c>
      <c r="V403" s="36">
        <f>IF(AG403="2",H403,0)</f>
        <v>0</v>
      </c>
      <c r="W403" s="36">
        <f>IF(AG403="2",I403,0)</f>
        <v>0</v>
      </c>
      <c r="X403" s="36">
        <f>IF(AG403="0",J403,0)</f>
        <v>0</v>
      </c>
      <c r="Y403" s="29"/>
      <c r="Z403" s="22">
        <f>IF(AD403=0,J403,0)</f>
        <v>0</v>
      </c>
      <c r="AA403" s="22">
        <f>IF(AD403=15,J403,0)</f>
        <v>0</v>
      </c>
      <c r="AB403" s="22">
        <f>IF(AD403=21,J403,0)</f>
        <v>0</v>
      </c>
      <c r="AD403" s="36">
        <v>21</v>
      </c>
      <c r="AE403" s="36">
        <f>G403*1</f>
        <v>0</v>
      </c>
      <c r="AF403" s="36">
        <f>G403*(1-1)</f>
        <v>0</v>
      </c>
      <c r="AG403" s="33" t="s">
        <v>13</v>
      </c>
      <c r="AM403" s="36">
        <f>F403*AE403</f>
        <v>0</v>
      </c>
      <c r="AN403" s="36">
        <f>F403*AF403</f>
        <v>0</v>
      </c>
      <c r="AO403" s="37" t="s">
        <v>1080</v>
      </c>
      <c r="AP403" s="37" t="s">
        <v>1098</v>
      </c>
      <c r="AQ403" s="29" t="s">
        <v>1101</v>
      </c>
      <c r="AS403" s="36">
        <f>AM403+AN403</f>
        <v>0</v>
      </c>
      <c r="AT403" s="36">
        <f>G403/(100-AU403)*100</f>
        <v>0</v>
      </c>
      <c r="AU403" s="36">
        <v>0</v>
      </c>
      <c r="AV403" s="36">
        <f>L403</f>
        <v>0.005312000000000001</v>
      </c>
    </row>
    <row r="404" spans="4:6" ht="12.75">
      <c r="D404" s="17" t="s">
        <v>893</v>
      </c>
      <c r="F404" s="21">
        <v>2.656</v>
      </c>
    </row>
    <row r="405" spans="1:48" ht="12.75">
      <c r="A405" s="6" t="s">
        <v>199</v>
      </c>
      <c r="B405" s="6"/>
      <c r="C405" s="6" t="s">
        <v>456</v>
      </c>
      <c r="D405" s="6" t="s">
        <v>894</v>
      </c>
      <c r="E405" s="6" t="s">
        <v>1018</v>
      </c>
      <c r="F405" s="22">
        <v>5.312</v>
      </c>
      <c r="G405" s="22">
        <v>0</v>
      </c>
      <c r="H405" s="22">
        <f>F405*AE405</f>
        <v>0</v>
      </c>
      <c r="I405" s="22">
        <f>J405-H405</f>
        <v>0</v>
      </c>
      <c r="J405" s="22">
        <f>F405*G405</f>
        <v>0</v>
      </c>
      <c r="K405" s="22">
        <v>0.001</v>
      </c>
      <c r="L405" s="22">
        <f>F405*K405</f>
        <v>0.005312000000000001</v>
      </c>
      <c r="M405" s="33" t="s">
        <v>1040</v>
      </c>
      <c r="P405" s="36">
        <f>IF(AG405="5",J405,0)</f>
        <v>0</v>
      </c>
      <c r="R405" s="36">
        <f>IF(AG405="1",H405,0)</f>
        <v>0</v>
      </c>
      <c r="S405" s="36">
        <f>IF(AG405="1",I405,0)</f>
        <v>0</v>
      </c>
      <c r="T405" s="36">
        <f>IF(AG405="7",H405,0)</f>
        <v>0</v>
      </c>
      <c r="U405" s="36">
        <f>IF(AG405="7",I405,0)</f>
        <v>0</v>
      </c>
      <c r="V405" s="36">
        <f>IF(AG405="2",H405,0)</f>
        <v>0</v>
      </c>
      <c r="W405" s="36">
        <f>IF(AG405="2",I405,0)</f>
        <v>0</v>
      </c>
      <c r="X405" s="36">
        <f>IF(AG405="0",J405,0)</f>
        <v>0</v>
      </c>
      <c r="Y405" s="29"/>
      <c r="Z405" s="22">
        <f>IF(AD405=0,J405,0)</f>
        <v>0</v>
      </c>
      <c r="AA405" s="22">
        <f>IF(AD405=15,J405,0)</f>
        <v>0</v>
      </c>
      <c r="AB405" s="22">
        <f>IF(AD405=21,J405,0)</f>
        <v>0</v>
      </c>
      <c r="AD405" s="36">
        <v>21</v>
      </c>
      <c r="AE405" s="36">
        <f>G405*1</f>
        <v>0</v>
      </c>
      <c r="AF405" s="36">
        <f>G405*(1-1)</f>
        <v>0</v>
      </c>
      <c r="AG405" s="33" t="s">
        <v>13</v>
      </c>
      <c r="AM405" s="36">
        <f>F405*AE405</f>
        <v>0</v>
      </c>
      <c r="AN405" s="36">
        <f>F405*AF405</f>
        <v>0</v>
      </c>
      <c r="AO405" s="37" t="s">
        <v>1080</v>
      </c>
      <c r="AP405" s="37" t="s">
        <v>1098</v>
      </c>
      <c r="AQ405" s="29" t="s">
        <v>1101</v>
      </c>
      <c r="AS405" s="36">
        <f>AM405+AN405</f>
        <v>0</v>
      </c>
      <c r="AT405" s="36">
        <f>G405/(100-AU405)*100</f>
        <v>0</v>
      </c>
      <c r="AU405" s="36">
        <v>0</v>
      </c>
      <c r="AV405" s="36">
        <f>L405</f>
        <v>0.005312000000000001</v>
      </c>
    </row>
    <row r="406" spans="4:6" ht="12.75">
      <c r="D406" s="17" t="s">
        <v>895</v>
      </c>
      <c r="F406" s="21">
        <v>5.312</v>
      </c>
    </row>
    <row r="407" spans="1:48" ht="12.75">
      <c r="A407" s="6" t="s">
        <v>200</v>
      </c>
      <c r="B407" s="6"/>
      <c r="C407" s="6" t="s">
        <v>457</v>
      </c>
      <c r="D407" s="6" t="s">
        <v>896</v>
      </c>
      <c r="E407" s="6" t="s">
        <v>1018</v>
      </c>
      <c r="F407" s="22">
        <v>13.97895</v>
      </c>
      <c r="G407" s="22">
        <v>0</v>
      </c>
      <c r="H407" s="22">
        <f>F407*AE407</f>
        <v>0</v>
      </c>
      <c r="I407" s="22">
        <f>J407-H407</f>
        <v>0</v>
      </c>
      <c r="J407" s="22">
        <f>F407*G407</f>
        <v>0</v>
      </c>
      <c r="K407" s="22">
        <v>0.0004</v>
      </c>
      <c r="L407" s="22">
        <f>F407*K407</f>
        <v>0.00559158</v>
      </c>
      <c r="M407" s="33"/>
      <c r="P407" s="36">
        <f>IF(AG407="5",J407,0)</f>
        <v>0</v>
      </c>
      <c r="R407" s="36">
        <f>IF(AG407="1",H407,0)</f>
        <v>0</v>
      </c>
      <c r="S407" s="36">
        <f>IF(AG407="1",I407,0)</f>
        <v>0</v>
      </c>
      <c r="T407" s="36">
        <f>IF(AG407="7",H407,0)</f>
        <v>0</v>
      </c>
      <c r="U407" s="36">
        <f>IF(AG407="7",I407,0)</f>
        <v>0</v>
      </c>
      <c r="V407" s="36">
        <f>IF(AG407="2",H407,0)</f>
        <v>0</v>
      </c>
      <c r="W407" s="36">
        <f>IF(AG407="2",I407,0)</f>
        <v>0</v>
      </c>
      <c r="X407" s="36">
        <f>IF(AG407="0",J407,0)</f>
        <v>0</v>
      </c>
      <c r="Y407" s="29"/>
      <c r="Z407" s="22">
        <f>IF(AD407=0,J407,0)</f>
        <v>0</v>
      </c>
      <c r="AA407" s="22">
        <f>IF(AD407=15,J407,0)</f>
        <v>0</v>
      </c>
      <c r="AB407" s="22">
        <f>IF(AD407=21,J407,0)</f>
        <v>0</v>
      </c>
      <c r="AD407" s="36">
        <v>21</v>
      </c>
      <c r="AE407" s="36">
        <f>G407*1</f>
        <v>0</v>
      </c>
      <c r="AF407" s="36">
        <f>G407*(1-1)</f>
        <v>0</v>
      </c>
      <c r="AG407" s="33" t="s">
        <v>13</v>
      </c>
      <c r="AM407" s="36">
        <f>F407*AE407</f>
        <v>0</v>
      </c>
      <c r="AN407" s="36">
        <f>F407*AF407</f>
        <v>0</v>
      </c>
      <c r="AO407" s="37" t="s">
        <v>1080</v>
      </c>
      <c r="AP407" s="37" t="s">
        <v>1098</v>
      </c>
      <c r="AQ407" s="29" t="s">
        <v>1101</v>
      </c>
      <c r="AS407" s="36">
        <f>AM407+AN407</f>
        <v>0</v>
      </c>
      <c r="AT407" s="36">
        <f>G407/(100-AU407)*100</f>
        <v>0</v>
      </c>
      <c r="AU407" s="36">
        <v>0</v>
      </c>
      <c r="AV407" s="36">
        <f>L407</f>
        <v>0.00559158</v>
      </c>
    </row>
    <row r="408" spans="4:6" ht="12.75">
      <c r="D408" s="17" t="s">
        <v>897</v>
      </c>
      <c r="F408" s="21">
        <v>13.97895</v>
      </c>
    </row>
    <row r="409" spans="1:48" ht="12.75">
      <c r="A409" s="4" t="s">
        <v>201</v>
      </c>
      <c r="B409" s="4"/>
      <c r="C409" s="4" t="s">
        <v>458</v>
      </c>
      <c r="D409" s="4" t="s">
        <v>898</v>
      </c>
      <c r="E409" s="4" t="s">
        <v>1018</v>
      </c>
      <c r="F409" s="20">
        <v>2</v>
      </c>
      <c r="G409" s="20">
        <v>0</v>
      </c>
      <c r="H409" s="20">
        <f>F409*AE409</f>
        <v>0</v>
      </c>
      <c r="I409" s="20">
        <f>J409-H409</f>
        <v>0</v>
      </c>
      <c r="J409" s="20">
        <f>F409*G409</f>
        <v>0</v>
      </c>
      <c r="K409" s="20">
        <v>0.0004</v>
      </c>
      <c r="L409" s="20">
        <f>F409*K409</f>
        <v>0.0008</v>
      </c>
      <c r="M409" s="32" t="s">
        <v>1040</v>
      </c>
      <c r="P409" s="36">
        <f>IF(AG409="5",J409,0)</f>
        <v>0</v>
      </c>
      <c r="R409" s="36">
        <f>IF(AG409="1",H409,0)</f>
        <v>0</v>
      </c>
      <c r="S409" s="36">
        <f>IF(AG409="1",I409,0)</f>
        <v>0</v>
      </c>
      <c r="T409" s="36">
        <f>IF(AG409="7",H409,0)</f>
        <v>0</v>
      </c>
      <c r="U409" s="36">
        <f>IF(AG409="7",I409,0)</f>
        <v>0</v>
      </c>
      <c r="V409" s="36">
        <f>IF(AG409="2",H409,0)</f>
        <v>0</v>
      </c>
      <c r="W409" s="36">
        <f>IF(AG409="2",I409,0)</f>
        <v>0</v>
      </c>
      <c r="X409" s="36">
        <f>IF(AG409="0",J409,0)</f>
        <v>0</v>
      </c>
      <c r="Y409" s="29"/>
      <c r="Z409" s="20">
        <f>IF(AD409=0,J409,0)</f>
        <v>0</v>
      </c>
      <c r="AA409" s="20">
        <f>IF(AD409=15,J409,0)</f>
        <v>0</v>
      </c>
      <c r="AB409" s="20">
        <f>IF(AD409=21,J409,0)</f>
        <v>0</v>
      </c>
      <c r="AD409" s="36">
        <v>21</v>
      </c>
      <c r="AE409" s="36">
        <f>G409*0.576826196473552</f>
        <v>0</v>
      </c>
      <c r="AF409" s="36">
        <f>G409*(1-0.576826196473552)</f>
        <v>0</v>
      </c>
      <c r="AG409" s="32" t="s">
        <v>13</v>
      </c>
      <c r="AM409" s="36">
        <f>F409*AE409</f>
        <v>0</v>
      </c>
      <c r="AN409" s="36">
        <f>F409*AF409</f>
        <v>0</v>
      </c>
      <c r="AO409" s="37" t="s">
        <v>1080</v>
      </c>
      <c r="AP409" s="37" t="s">
        <v>1098</v>
      </c>
      <c r="AQ409" s="29" t="s">
        <v>1101</v>
      </c>
      <c r="AS409" s="36">
        <f>AM409+AN409</f>
        <v>0</v>
      </c>
      <c r="AT409" s="36">
        <f>G409/(100-AU409)*100</f>
        <v>0</v>
      </c>
      <c r="AU409" s="36">
        <v>0</v>
      </c>
      <c r="AV409" s="36">
        <f>L409</f>
        <v>0.0008</v>
      </c>
    </row>
    <row r="410" spans="1:48" ht="12.75">
      <c r="A410" s="4" t="s">
        <v>202</v>
      </c>
      <c r="B410" s="4"/>
      <c r="C410" s="4" t="s">
        <v>459</v>
      </c>
      <c r="D410" s="4" t="s">
        <v>899</v>
      </c>
      <c r="E410" s="4" t="s">
        <v>1019</v>
      </c>
      <c r="F410" s="20">
        <v>26.76</v>
      </c>
      <c r="G410" s="20">
        <v>0</v>
      </c>
      <c r="H410" s="20">
        <f>F410*AE410</f>
        <v>0</v>
      </c>
      <c r="I410" s="20">
        <f>J410-H410</f>
        <v>0</v>
      </c>
      <c r="J410" s="20">
        <f>F410*G410</f>
        <v>0</v>
      </c>
      <c r="K410" s="20">
        <v>0.00225</v>
      </c>
      <c r="L410" s="20">
        <f>F410*K410</f>
        <v>0.06021</v>
      </c>
      <c r="M410" s="32" t="s">
        <v>1040</v>
      </c>
      <c r="P410" s="36">
        <f>IF(AG410="5",J410,0)</f>
        <v>0</v>
      </c>
      <c r="R410" s="36">
        <f>IF(AG410="1",H410,0)</f>
        <v>0</v>
      </c>
      <c r="S410" s="36">
        <f>IF(AG410="1",I410,0)</f>
        <v>0</v>
      </c>
      <c r="T410" s="36">
        <f>IF(AG410="7",H410,0)</f>
        <v>0</v>
      </c>
      <c r="U410" s="36">
        <f>IF(AG410="7",I410,0)</f>
        <v>0</v>
      </c>
      <c r="V410" s="36">
        <f>IF(AG410="2",H410,0)</f>
        <v>0</v>
      </c>
      <c r="W410" s="36">
        <f>IF(AG410="2",I410,0)</f>
        <v>0</v>
      </c>
      <c r="X410" s="36">
        <f>IF(AG410="0",J410,0)</f>
        <v>0</v>
      </c>
      <c r="Y410" s="29"/>
      <c r="Z410" s="20">
        <f>IF(AD410=0,J410,0)</f>
        <v>0</v>
      </c>
      <c r="AA410" s="20">
        <f>IF(AD410=15,J410,0)</f>
        <v>0</v>
      </c>
      <c r="AB410" s="20">
        <f>IF(AD410=21,J410,0)</f>
        <v>0</v>
      </c>
      <c r="AD410" s="36">
        <v>21</v>
      </c>
      <c r="AE410" s="36">
        <f>G410*0.697034559643255</f>
        <v>0</v>
      </c>
      <c r="AF410" s="36">
        <f>G410*(1-0.697034559643255)</f>
        <v>0</v>
      </c>
      <c r="AG410" s="32" t="s">
        <v>13</v>
      </c>
      <c r="AM410" s="36">
        <f>F410*AE410</f>
        <v>0</v>
      </c>
      <c r="AN410" s="36">
        <f>F410*AF410</f>
        <v>0</v>
      </c>
      <c r="AO410" s="37" t="s">
        <v>1080</v>
      </c>
      <c r="AP410" s="37" t="s">
        <v>1098</v>
      </c>
      <c r="AQ410" s="29" t="s">
        <v>1101</v>
      </c>
      <c r="AS410" s="36">
        <f>AM410+AN410</f>
        <v>0</v>
      </c>
      <c r="AT410" s="36">
        <f>G410/(100-AU410)*100</f>
        <v>0</v>
      </c>
      <c r="AU410" s="36">
        <v>0</v>
      </c>
      <c r="AV410" s="36">
        <f>L410</f>
        <v>0.06021</v>
      </c>
    </row>
    <row r="411" spans="4:6" ht="12.75">
      <c r="D411" s="17" t="s">
        <v>900</v>
      </c>
      <c r="F411" s="21">
        <v>26.76</v>
      </c>
    </row>
    <row r="412" spans="1:48" ht="12.75">
      <c r="A412" s="4" t="s">
        <v>203</v>
      </c>
      <c r="B412" s="4"/>
      <c r="C412" s="4" t="s">
        <v>460</v>
      </c>
      <c r="D412" s="4" t="s">
        <v>901</v>
      </c>
      <c r="E412" s="4" t="s">
        <v>1019</v>
      </c>
      <c r="F412" s="20">
        <v>7.4</v>
      </c>
      <c r="G412" s="20">
        <v>0</v>
      </c>
      <c r="H412" s="20">
        <f>F412*AE412</f>
        <v>0</v>
      </c>
      <c r="I412" s="20">
        <f>J412-H412</f>
        <v>0</v>
      </c>
      <c r="J412" s="20">
        <f>F412*G412</f>
        <v>0</v>
      </c>
      <c r="K412" s="20">
        <v>0.00312</v>
      </c>
      <c r="L412" s="20">
        <f>F412*K412</f>
        <v>0.023088</v>
      </c>
      <c r="M412" s="32" t="s">
        <v>1040</v>
      </c>
      <c r="P412" s="36">
        <f>IF(AG412="5",J412,0)</f>
        <v>0</v>
      </c>
      <c r="R412" s="36">
        <f>IF(AG412="1",H412,0)</f>
        <v>0</v>
      </c>
      <c r="S412" s="36">
        <f>IF(AG412="1",I412,0)</f>
        <v>0</v>
      </c>
      <c r="T412" s="36">
        <f>IF(AG412="7",H412,0)</f>
        <v>0</v>
      </c>
      <c r="U412" s="36">
        <f>IF(AG412="7",I412,0)</f>
        <v>0</v>
      </c>
      <c r="V412" s="36">
        <f>IF(AG412="2",H412,0)</f>
        <v>0</v>
      </c>
      <c r="W412" s="36">
        <f>IF(AG412="2",I412,0)</f>
        <v>0</v>
      </c>
      <c r="X412" s="36">
        <f>IF(AG412="0",J412,0)</f>
        <v>0</v>
      </c>
      <c r="Y412" s="29"/>
      <c r="Z412" s="20">
        <f>IF(AD412=0,J412,0)</f>
        <v>0</v>
      </c>
      <c r="AA412" s="20">
        <f>IF(AD412=15,J412,0)</f>
        <v>0</v>
      </c>
      <c r="AB412" s="20">
        <f>IF(AD412=21,J412,0)</f>
        <v>0</v>
      </c>
      <c r="AD412" s="36">
        <v>21</v>
      </c>
      <c r="AE412" s="36">
        <f>G412*0.81381714466804</f>
        <v>0</v>
      </c>
      <c r="AF412" s="36">
        <f>G412*(1-0.81381714466804)</f>
        <v>0</v>
      </c>
      <c r="AG412" s="32" t="s">
        <v>13</v>
      </c>
      <c r="AM412" s="36">
        <f>F412*AE412</f>
        <v>0</v>
      </c>
      <c r="AN412" s="36">
        <f>F412*AF412</f>
        <v>0</v>
      </c>
      <c r="AO412" s="37" t="s">
        <v>1080</v>
      </c>
      <c r="AP412" s="37" t="s">
        <v>1098</v>
      </c>
      <c r="AQ412" s="29" t="s">
        <v>1101</v>
      </c>
      <c r="AS412" s="36">
        <f>AM412+AN412</f>
        <v>0</v>
      </c>
      <c r="AT412" s="36">
        <f>G412/(100-AU412)*100</f>
        <v>0</v>
      </c>
      <c r="AU412" s="36">
        <v>0</v>
      </c>
      <c r="AV412" s="36">
        <f>L412</f>
        <v>0.023088</v>
      </c>
    </row>
    <row r="413" spans="4:6" ht="12.75">
      <c r="D413" s="17" t="s">
        <v>902</v>
      </c>
      <c r="F413" s="21">
        <v>7.4</v>
      </c>
    </row>
    <row r="414" spans="1:48" ht="12.75">
      <c r="A414" s="6" t="s">
        <v>204</v>
      </c>
      <c r="B414" s="6"/>
      <c r="C414" s="6" t="s">
        <v>461</v>
      </c>
      <c r="D414" s="6" t="s">
        <v>903</v>
      </c>
      <c r="E414" s="6" t="s">
        <v>1016</v>
      </c>
      <c r="F414" s="22">
        <v>193.70208</v>
      </c>
      <c r="G414" s="22">
        <v>0</v>
      </c>
      <c r="H414" s="22">
        <f>F414*AE414</f>
        <v>0</v>
      </c>
      <c r="I414" s="22">
        <f>J414-H414</f>
        <v>0</v>
      </c>
      <c r="J414" s="22">
        <f>F414*G414</f>
        <v>0</v>
      </c>
      <c r="K414" s="22">
        <v>0.00014</v>
      </c>
      <c r="L414" s="22">
        <f>F414*K414</f>
        <v>0.0271182912</v>
      </c>
      <c r="M414" s="33" t="s">
        <v>1040</v>
      </c>
      <c r="P414" s="36">
        <f>IF(AG414="5",J414,0)</f>
        <v>0</v>
      </c>
      <c r="R414" s="36">
        <f>IF(AG414="1",H414,0)</f>
        <v>0</v>
      </c>
      <c r="S414" s="36">
        <f>IF(AG414="1",I414,0)</f>
        <v>0</v>
      </c>
      <c r="T414" s="36">
        <f>IF(AG414="7",H414,0)</f>
        <v>0</v>
      </c>
      <c r="U414" s="36">
        <f>IF(AG414="7",I414,0)</f>
        <v>0</v>
      </c>
      <c r="V414" s="36">
        <f>IF(AG414="2",H414,0)</f>
        <v>0</v>
      </c>
      <c r="W414" s="36">
        <f>IF(AG414="2",I414,0)</f>
        <v>0</v>
      </c>
      <c r="X414" s="36">
        <f>IF(AG414="0",J414,0)</f>
        <v>0</v>
      </c>
      <c r="Y414" s="29"/>
      <c r="Z414" s="22">
        <f>IF(AD414=0,J414,0)</f>
        <v>0</v>
      </c>
      <c r="AA414" s="22">
        <f>IF(AD414=15,J414,0)</f>
        <v>0</v>
      </c>
      <c r="AB414" s="22">
        <f>IF(AD414=21,J414,0)</f>
        <v>0</v>
      </c>
      <c r="AD414" s="36">
        <v>21</v>
      </c>
      <c r="AE414" s="36">
        <f>G414*1</f>
        <v>0</v>
      </c>
      <c r="AF414" s="36">
        <f>G414*(1-1)</f>
        <v>0</v>
      </c>
      <c r="AG414" s="33" t="s">
        <v>13</v>
      </c>
      <c r="AM414" s="36">
        <f>F414*AE414</f>
        <v>0</v>
      </c>
      <c r="AN414" s="36">
        <f>F414*AF414</f>
        <v>0</v>
      </c>
      <c r="AO414" s="37" t="s">
        <v>1080</v>
      </c>
      <c r="AP414" s="37" t="s">
        <v>1098</v>
      </c>
      <c r="AQ414" s="29" t="s">
        <v>1101</v>
      </c>
      <c r="AS414" s="36">
        <f>AM414+AN414</f>
        <v>0</v>
      </c>
      <c r="AT414" s="36">
        <f>G414/(100-AU414)*100</f>
        <v>0</v>
      </c>
      <c r="AU414" s="36">
        <v>0</v>
      </c>
      <c r="AV414" s="36">
        <f>L414</f>
        <v>0.0271182912</v>
      </c>
    </row>
    <row r="415" spans="4:6" ht="12.75">
      <c r="D415" s="17" t="s">
        <v>872</v>
      </c>
      <c r="F415" s="21">
        <v>176.0928</v>
      </c>
    </row>
    <row r="416" spans="4:6" ht="12.75">
      <c r="D416" s="17" t="s">
        <v>904</v>
      </c>
      <c r="F416" s="21">
        <v>17.60928</v>
      </c>
    </row>
    <row r="417" spans="1:48" ht="12.75">
      <c r="A417" s="4" t="s">
        <v>205</v>
      </c>
      <c r="B417" s="4"/>
      <c r="C417" s="4" t="s">
        <v>462</v>
      </c>
      <c r="D417" s="4" t="s">
        <v>905</v>
      </c>
      <c r="E417" s="4" t="s">
        <v>1015</v>
      </c>
      <c r="F417" s="20">
        <v>1.02424</v>
      </c>
      <c r="G417" s="20">
        <v>0</v>
      </c>
      <c r="H417" s="20">
        <f>F417*AE417</f>
        <v>0</v>
      </c>
      <c r="I417" s="20">
        <f>J417-H417</f>
        <v>0</v>
      </c>
      <c r="J417" s="20">
        <f>F417*G417</f>
        <v>0</v>
      </c>
      <c r="K417" s="20">
        <v>0</v>
      </c>
      <c r="L417" s="20">
        <f>F417*K417</f>
        <v>0</v>
      </c>
      <c r="M417" s="32" t="s">
        <v>1040</v>
      </c>
      <c r="P417" s="36">
        <f>IF(AG417="5",J417,0)</f>
        <v>0</v>
      </c>
      <c r="R417" s="36">
        <f>IF(AG417="1",H417,0)</f>
        <v>0</v>
      </c>
      <c r="S417" s="36">
        <f>IF(AG417="1",I417,0)</f>
        <v>0</v>
      </c>
      <c r="T417" s="36">
        <f>IF(AG417="7",H417,0)</f>
        <v>0</v>
      </c>
      <c r="U417" s="36">
        <f>IF(AG417="7",I417,0)</f>
        <v>0</v>
      </c>
      <c r="V417" s="36">
        <f>IF(AG417="2",H417,0)</f>
        <v>0</v>
      </c>
      <c r="W417" s="36">
        <f>IF(AG417="2",I417,0)</f>
        <v>0</v>
      </c>
      <c r="X417" s="36">
        <f>IF(AG417="0",J417,0)</f>
        <v>0</v>
      </c>
      <c r="Y417" s="29"/>
      <c r="Z417" s="20">
        <f>IF(AD417=0,J417,0)</f>
        <v>0</v>
      </c>
      <c r="AA417" s="20">
        <f>IF(AD417=15,J417,0)</f>
        <v>0</v>
      </c>
      <c r="AB417" s="20">
        <f>IF(AD417=21,J417,0)</f>
        <v>0</v>
      </c>
      <c r="AD417" s="36">
        <v>21</v>
      </c>
      <c r="AE417" s="36">
        <f>G417*0</f>
        <v>0</v>
      </c>
      <c r="AF417" s="36">
        <f>G417*(1-0)</f>
        <v>0</v>
      </c>
      <c r="AG417" s="32" t="s">
        <v>11</v>
      </c>
      <c r="AM417" s="36">
        <f>F417*AE417</f>
        <v>0</v>
      </c>
      <c r="AN417" s="36">
        <f>F417*AF417</f>
        <v>0</v>
      </c>
      <c r="AO417" s="37" t="s">
        <v>1080</v>
      </c>
      <c r="AP417" s="37" t="s">
        <v>1098</v>
      </c>
      <c r="AQ417" s="29" t="s">
        <v>1101</v>
      </c>
      <c r="AS417" s="36">
        <f>AM417+AN417</f>
        <v>0</v>
      </c>
      <c r="AT417" s="36">
        <f>G417/(100-AU417)*100</f>
        <v>0</v>
      </c>
      <c r="AU417" s="36">
        <v>0</v>
      </c>
      <c r="AV417" s="36">
        <f>L417</f>
        <v>0</v>
      </c>
    </row>
    <row r="418" spans="1:37" ht="12.75">
      <c r="A418" s="5"/>
      <c r="B418" s="13"/>
      <c r="C418" s="13" t="s">
        <v>463</v>
      </c>
      <c r="D418" s="93" t="s">
        <v>906</v>
      </c>
      <c r="E418" s="94"/>
      <c r="F418" s="94"/>
      <c r="G418" s="94"/>
      <c r="H418" s="39">
        <f>SUM(H419:H456)</f>
        <v>0</v>
      </c>
      <c r="I418" s="39">
        <f>SUM(I419:I456)</f>
        <v>0</v>
      </c>
      <c r="J418" s="39">
        <f>H418+I418</f>
        <v>0</v>
      </c>
      <c r="K418" s="29"/>
      <c r="L418" s="39">
        <f>SUM(L419:L456)</f>
        <v>3.745497877</v>
      </c>
      <c r="M418" s="29"/>
      <c r="Y418" s="29"/>
      <c r="AI418" s="39">
        <f>SUM(Z419:Z456)</f>
        <v>0</v>
      </c>
      <c r="AJ418" s="39">
        <f>SUM(AA419:AA456)</f>
        <v>0</v>
      </c>
      <c r="AK418" s="39">
        <f>SUM(AB419:AB456)</f>
        <v>0</v>
      </c>
    </row>
    <row r="419" spans="1:48" ht="12.75">
      <c r="A419" s="4" t="s">
        <v>206</v>
      </c>
      <c r="B419" s="4"/>
      <c r="C419" s="4" t="s">
        <v>464</v>
      </c>
      <c r="D419" s="4" t="s">
        <v>907</v>
      </c>
      <c r="E419" s="4" t="s">
        <v>1019</v>
      </c>
      <c r="F419" s="20">
        <v>45.1</v>
      </c>
      <c r="G419" s="20">
        <v>0</v>
      </c>
      <c r="H419" s="20">
        <f>F419*AE419</f>
        <v>0</v>
      </c>
      <c r="I419" s="20">
        <f>J419-H419</f>
        <v>0</v>
      </c>
      <c r="J419" s="20">
        <f>F419*G419</f>
        <v>0</v>
      </c>
      <c r="K419" s="20">
        <v>4E-05</v>
      </c>
      <c r="L419" s="20">
        <f>F419*K419</f>
        <v>0.0018040000000000003</v>
      </c>
      <c r="M419" s="32" t="s">
        <v>1040</v>
      </c>
      <c r="P419" s="36">
        <f>IF(AG419="5",J419,0)</f>
        <v>0</v>
      </c>
      <c r="R419" s="36">
        <f>IF(AG419="1",H419,0)</f>
        <v>0</v>
      </c>
      <c r="S419" s="36">
        <f>IF(AG419="1",I419,0)</f>
        <v>0</v>
      </c>
      <c r="T419" s="36">
        <f>IF(AG419="7",H419,0)</f>
        <v>0</v>
      </c>
      <c r="U419" s="36">
        <f>IF(AG419="7",I419,0)</f>
        <v>0</v>
      </c>
      <c r="V419" s="36">
        <f>IF(AG419="2",H419,0)</f>
        <v>0</v>
      </c>
      <c r="W419" s="36">
        <f>IF(AG419="2",I419,0)</f>
        <v>0</v>
      </c>
      <c r="X419" s="36">
        <f>IF(AG419="0",J419,0)</f>
        <v>0</v>
      </c>
      <c r="Y419" s="29"/>
      <c r="Z419" s="20">
        <f>IF(AD419=0,J419,0)</f>
        <v>0</v>
      </c>
      <c r="AA419" s="20">
        <f>IF(AD419=15,J419,0)</f>
        <v>0</v>
      </c>
      <c r="AB419" s="20">
        <f>IF(AD419=21,J419,0)</f>
        <v>0</v>
      </c>
      <c r="AD419" s="36">
        <v>21</v>
      </c>
      <c r="AE419" s="36">
        <f>G419*0.283896231032795</f>
        <v>0</v>
      </c>
      <c r="AF419" s="36">
        <f>G419*(1-0.283896231032795)</f>
        <v>0</v>
      </c>
      <c r="AG419" s="32" t="s">
        <v>13</v>
      </c>
      <c r="AM419" s="36">
        <f>F419*AE419</f>
        <v>0</v>
      </c>
      <c r="AN419" s="36">
        <f>F419*AF419</f>
        <v>0</v>
      </c>
      <c r="AO419" s="37" t="s">
        <v>1081</v>
      </c>
      <c r="AP419" s="37" t="s">
        <v>1098</v>
      </c>
      <c r="AQ419" s="29" t="s">
        <v>1101</v>
      </c>
      <c r="AS419" s="36">
        <f>AM419+AN419</f>
        <v>0</v>
      </c>
      <c r="AT419" s="36">
        <f>G419/(100-AU419)*100</f>
        <v>0</v>
      </c>
      <c r="AU419" s="36">
        <v>0</v>
      </c>
      <c r="AV419" s="36">
        <f>L419</f>
        <v>0.0018040000000000003</v>
      </c>
    </row>
    <row r="420" spans="4:6" ht="12.75">
      <c r="D420" s="17" t="s">
        <v>908</v>
      </c>
      <c r="F420" s="21">
        <v>45.1</v>
      </c>
    </row>
    <row r="421" spans="1:48" ht="12.75">
      <c r="A421" s="4" t="s">
        <v>207</v>
      </c>
      <c r="B421" s="4"/>
      <c r="C421" s="4" t="s">
        <v>465</v>
      </c>
      <c r="D421" s="4" t="s">
        <v>909</v>
      </c>
      <c r="E421" s="4" t="s">
        <v>1019</v>
      </c>
      <c r="F421" s="20">
        <v>6</v>
      </c>
      <c r="G421" s="20">
        <v>0</v>
      </c>
      <c r="H421" s="20">
        <f>F421*AE421</f>
        <v>0</v>
      </c>
      <c r="I421" s="20">
        <f>J421-H421</f>
        <v>0</v>
      </c>
      <c r="J421" s="20">
        <f>F421*G421</f>
        <v>0</v>
      </c>
      <c r="K421" s="20">
        <v>0.00016</v>
      </c>
      <c r="L421" s="20">
        <f>F421*K421</f>
        <v>0.0009600000000000001</v>
      </c>
      <c r="M421" s="32" t="s">
        <v>1040</v>
      </c>
      <c r="P421" s="36">
        <f>IF(AG421="5",J421,0)</f>
        <v>0</v>
      </c>
      <c r="R421" s="36">
        <f>IF(AG421="1",H421,0)</f>
        <v>0</v>
      </c>
      <c r="S421" s="36">
        <f>IF(AG421="1",I421,0)</f>
        <v>0</v>
      </c>
      <c r="T421" s="36">
        <f>IF(AG421="7",H421,0)</f>
        <v>0</v>
      </c>
      <c r="U421" s="36">
        <f>IF(AG421="7",I421,0)</f>
        <v>0</v>
      </c>
      <c r="V421" s="36">
        <f>IF(AG421="2",H421,0)</f>
        <v>0</v>
      </c>
      <c r="W421" s="36">
        <f>IF(AG421="2",I421,0)</f>
        <v>0</v>
      </c>
      <c r="X421" s="36">
        <f>IF(AG421="0",J421,0)</f>
        <v>0</v>
      </c>
      <c r="Y421" s="29"/>
      <c r="Z421" s="20">
        <f>IF(AD421=0,J421,0)</f>
        <v>0</v>
      </c>
      <c r="AA421" s="20">
        <f>IF(AD421=15,J421,0)</f>
        <v>0</v>
      </c>
      <c r="AB421" s="20">
        <f>IF(AD421=21,J421,0)</f>
        <v>0</v>
      </c>
      <c r="AD421" s="36">
        <v>21</v>
      </c>
      <c r="AE421" s="36">
        <f>G421*0.292188295165394</f>
        <v>0</v>
      </c>
      <c r="AF421" s="36">
        <f>G421*(1-0.292188295165394)</f>
        <v>0</v>
      </c>
      <c r="AG421" s="32" t="s">
        <v>13</v>
      </c>
      <c r="AM421" s="36">
        <f>F421*AE421</f>
        <v>0</v>
      </c>
      <c r="AN421" s="36">
        <f>F421*AF421</f>
        <v>0</v>
      </c>
      <c r="AO421" s="37" t="s">
        <v>1081</v>
      </c>
      <c r="AP421" s="37" t="s">
        <v>1098</v>
      </c>
      <c r="AQ421" s="29" t="s">
        <v>1101</v>
      </c>
      <c r="AS421" s="36">
        <f>AM421+AN421</f>
        <v>0</v>
      </c>
      <c r="AT421" s="36">
        <f>G421/(100-AU421)*100</f>
        <v>0</v>
      </c>
      <c r="AU421" s="36">
        <v>0</v>
      </c>
      <c r="AV421" s="36">
        <f>L421</f>
        <v>0.0009600000000000001</v>
      </c>
    </row>
    <row r="422" spans="4:6" ht="12.75">
      <c r="D422" s="17" t="s">
        <v>910</v>
      </c>
      <c r="F422" s="21">
        <v>6</v>
      </c>
    </row>
    <row r="423" spans="1:48" ht="12.75">
      <c r="A423" s="4" t="s">
        <v>208</v>
      </c>
      <c r="B423" s="4"/>
      <c r="C423" s="4" t="s">
        <v>466</v>
      </c>
      <c r="D423" s="4" t="s">
        <v>911</v>
      </c>
      <c r="E423" s="4" t="s">
        <v>1018</v>
      </c>
      <c r="F423" s="20">
        <v>17</v>
      </c>
      <c r="G423" s="20">
        <v>0</v>
      </c>
      <c r="H423" s="20">
        <f>F423*AE423</f>
        <v>0</v>
      </c>
      <c r="I423" s="20">
        <f>J423-H423</f>
        <v>0</v>
      </c>
      <c r="J423" s="20">
        <f>F423*G423</f>
        <v>0</v>
      </c>
      <c r="K423" s="20">
        <v>0</v>
      </c>
      <c r="L423" s="20">
        <f>F423*K423</f>
        <v>0</v>
      </c>
      <c r="M423" s="32" t="s">
        <v>1040</v>
      </c>
      <c r="P423" s="36">
        <f>IF(AG423="5",J423,0)</f>
        <v>0</v>
      </c>
      <c r="R423" s="36">
        <f>IF(AG423="1",H423,0)</f>
        <v>0</v>
      </c>
      <c r="S423" s="36">
        <f>IF(AG423="1",I423,0)</f>
        <v>0</v>
      </c>
      <c r="T423" s="36">
        <f>IF(AG423="7",H423,0)</f>
        <v>0</v>
      </c>
      <c r="U423" s="36">
        <f>IF(AG423="7",I423,0)</f>
        <v>0</v>
      </c>
      <c r="V423" s="36">
        <f>IF(AG423="2",H423,0)</f>
        <v>0</v>
      </c>
      <c r="W423" s="36">
        <f>IF(AG423="2",I423,0)</f>
        <v>0</v>
      </c>
      <c r="X423" s="36">
        <f>IF(AG423="0",J423,0)</f>
        <v>0</v>
      </c>
      <c r="Y423" s="29"/>
      <c r="Z423" s="20">
        <f>IF(AD423=0,J423,0)</f>
        <v>0</v>
      </c>
      <c r="AA423" s="20">
        <f>IF(AD423=15,J423,0)</f>
        <v>0</v>
      </c>
      <c r="AB423" s="20">
        <f>IF(AD423=21,J423,0)</f>
        <v>0</v>
      </c>
      <c r="AD423" s="36">
        <v>21</v>
      </c>
      <c r="AE423" s="36">
        <f>G423*0</f>
        <v>0</v>
      </c>
      <c r="AF423" s="36">
        <f>G423*(1-0)</f>
        <v>0</v>
      </c>
      <c r="AG423" s="32" t="s">
        <v>13</v>
      </c>
      <c r="AM423" s="36">
        <f>F423*AE423</f>
        <v>0</v>
      </c>
      <c r="AN423" s="36">
        <f>F423*AF423</f>
        <v>0</v>
      </c>
      <c r="AO423" s="37" t="s">
        <v>1081</v>
      </c>
      <c r="AP423" s="37" t="s">
        <v>1098</v>
      </c>
      <c r="AQ423" s="29" t="s">
        <v>1101</v>
      </c>
      <c r="AS423" s="36">
        <f>AM423+AN423</f>
        <v>0</v>
      </c>
      <c r="AT423" s="36">
        <f>G423/(100-AU423)*100</f>
        <v>0</v>
      </c>
      <c r="AU423" s="36">
        <v>0</v>
      </c>
      <c r="AV423" s="36">
        <f>L423</f>
        <v>0</v>
      </c>
    </row>
    <row r="424" spans="1:48" ht="12.75">
      <c r="A424" s="4" t="s">
        <v>209</v>
      </c>
      <c r="B424" s="4"/>
      <c r="C424" s="4" t="s">
        <v>467</v>
      </c>
      <c r="D424" s="4" t="s">
        <v>912</v>
      </c>
      <c r="E424" s="4" t="s">
        <v>1018</v>
      </c>
      <c r="F424" s="20">
        <v>17</v>
      </c>
      <c r="G424" s="20">
        <v>0</v>
      </c>
      <c r="H424" s="20">
        <f>F424*AE424</f>
        <v>0</v>
      </c>
      <c r="I424" s="20">
        <f>J424-H424</f>
        <v>0</v>
      </c>
      <c r="J424" s="20">
        <f>F424*G424</f>
        <v>0</v>
      </c>
      <c r="K424" s="20">
        <v>0</v>
      </c>
      <c r="L424" s="20">
        <f>F424*K424</f>
        <v>0</v>
      </c>
      <c r="M424" s="32" t="s">
        <v>1040</v>
      </c>
      <c r="P424" s="36">
        <f>IF(AG424="5",J424,0)</f>
        <v>0</v>
      </c>
      <c r="R424" s="36">
        <f>IF(AG424="1",H424,0)</f>
        <v>0</v>
      </c>
      <c r="S424" s="36">
        <f>IF(AG424="1",I424,0)</f>
        <v>0</v>
      </c>
      <c r="T424" s="36">
        <f>IF(AG424="7",H424,0)</f>
        <v>0</v>
      </c>
      <c r="U424" s="36">
        <f>IF(AG424="7",I424,0)</f>
        <v>0</v>
      </c>
      <c r="V424" s="36">
        <f>IF(AG424="2",H424,0)</f>
        <v>0</v>
      </c>
      <c r="W424" s="36">
        <f>IF(AG424="2",I424,0)</f>
        <v>0</v>
      </c>
      <c r="X424" s="36">
        <f>IF(AG424="0",J424,0)</f>
        <v>0</v>
      </c>
      <c r="Y424" s="29"/>
      <c r="Z424" s="20">
        <f>IF(AD424=0,J424,0)</f>
        <v>0</v>
      </c>
      <c r="AA424" s="20">
        <f>IF(AD424=15,J424,0)</f>
        <v>0</v>
      </c>
      <c r="AB424" s="20">
        <f>IF(AD424=21,J424,0)</f>
        <v>0</v>
      </c>
      <c r="AD424" s="36">
        <v>21</v>
      </c>
      <c r="AE424" s="36">
        <f>G424*0</f>
        <v>0</v>
      </c>
      <c r="AF424" s="36">
        <f>G424*(1-0)</f>
        <v>0</v>
      </c>
      <c r="AG424" s="32" t="s">
        <v>13</v>
      </c>
      <c r="AM424" s="36">
        <f>F424*AE424</f>
        <v>0</v>
      </c>
      <c r="AN424" s="36">
        <f>F424*AF424</f>
        <v>0</v>
      </c>
      <c r="AO424" s="37" t="s">
        <v>1081</v>
      </c>
      <c r="AP424" s="37" t="s">
        <v>1098</v>
      </c>
      <c r="AQ424" s="29" t="s">
        <v>1101</v>
      </c>
      <c r="AS424" s="36">
        <f>AM424+AN424</f>
        <v>0</v>
      </c>
      <c r="AT424" s="36">
        <f>G424/(100-AU424)*100</f>
        <v>0</v>
      </c>
      <c r="AU424" s="36">
        <v>0</v>
      </c>
      <c r="AV424" s="36">
        <f>L424</f>
        <v>0</v>
      </c>
    </row>
    <row r="425" spans="1:48" ht="12.75">
      <c r="A425" s="6" t="s">
        <v>210</v>
      </c>
      <c r="B425" s="6"/>
      <c r="C425" s="6" t="s">
        <v>468</v>
      </c>
      <c r="D425" s="6" t="s">
        <v>913</v>
      </c>
      <c r="E425" s="6" t="s">
        <v>1018</v>
      </c>
      <c r="F425" s="22">
        <v>5</v>
      </c>
      <c r="G425" s="22">
        <v>0</v>
      </c>
      <c r="H425" s="22">
        <f>F425*AE425</f>
        <v>0</v>
      </c>
      <c r="I425" s="22">
        <f>J425-H425</f>
        <v>0</v>
      </c>
      <c r="J425" s="22">
        <f>F425*G425</f>
        <v>0</v>
      </c>
      <c r="K425" s="22">
        <v>0.0008</v>
      </c>
      <c r="L425" s="22">
        <f>F425*K425</f>
        <v>0.004</v>
      </c>
      <c r="M425" s="33" t="s">
        <v>1040</v>
      </c>
      <c r="P425" s="36">
        <f>IF(AG425="5",J425,0)</f>
        <v>0</v>
      </c>
      <c r="R425" s="36">
        <f>IF(AG425="1",H425,0)</f>
        <v>0</v>
      </c>
      <c r="S425" s="36">
        <f>IF(AG425="1",I425,0)</f>
        <v>0</v>
      </c>
      <c r="T425" s="36">
        <f>IF(AG425="7",H425,0)</f>
        <v>0</v>
      </c>
      <c r="U425" s="36">
        <f>IF(AG425="7",I425,0)</f>
        <v>0</v>
      </c>
      <c r="V425" s="36">
        <f>IF(AG425="2",H425,0)</f>
        <v>0</v>
      </c>
      <c r="W425" s="36">
        <f>IF(AG425="2",I425,0)</f>
        <v>0</v>
      </c>
      <c r="X425" s="36">
        <f>IF(AG425="0",J425,0)</f>
        <v>0</v>
      </c>
      <c r="Y425" s="29"/>
      <c r="Z425" s="22">
        <f>IF(AD425=0,J425,0)</f>
        <v>0</v>
      </c>
      <c r="AA425" s="22">
        <f>IF(AD425=15,J425,0)</f>
        <v>0</v>
      </c>
      <c r="AB425" s="22">
        <f>IF(AD425=21,J425,0)</f>
        <v>0</v>
      </c>
      <c r="AD425" s="36">
        <v>21</v>
      </c>
      <c r="AE425" s="36">
        <f>G425*1</f>
        <v>0</v>
      </c>
      <c r="AF425" s="36">
        <f>G425*(1-1)</f>
        <v>0</v>
      </c>
      <c r="AG425" s="33" t="s">
        <v>13</v>
      </c>
      <c r="AM425" s="36">
        <f>F425*AE425</f>
        <v>0</v>
      </c>
      <c r="AN425" s="36">
        <f>F425*AF425</f>
        <v>0</v>
      </c>
      <c r="AO425" s="37" t="s">
        <v>1081</v>
      </c>
      <c r="AP425" s="37" t="s">
        <v>1098</v>
      </c>
      <c r="AQ425" s="29" t="s">
        <v>1101</v>
      </c>
      <c r="AS425" s="36">
        <f>AM425+AN425</f>
        <v>0</v>
      </c>
      <c r="AT425" s="36">
        <f>G425/(100-AU425)*100</f>
        <v>0</v>
      </c>
      <c r="AU425" s="36">
        <v>0</v>
      </c>
      <c r="AV425" s="36">
        <f>L425</f>
        <v>0.004</v>
      </c>
    </row>
    <row r="426" spans="1:48" ht="12.75">
      <c r="A426" s="6" t="s">
        <v>211</v>
      </c>
      <c r="B426" s="6"/>
      <c r="C426" s="6" t="s">
        <v>469</v>
      </c>
      <c r="D426" s="6" t="s">
        <v>914</v>
      </c>
      <c r="E426" s="6" t="s">
        <v>1018</v>
      </c>
      <c r="F426" s="22">
        <v>4</v>
      </c>
      <c r="G426" s="22">
        <v>0</v>
      </c>
      <c r="H426" s="22">
        <f>F426*AE426</f>
        <v>0</v>
      </c>
      <c r="I426" s="22">
        <f>J426-H426</f>
        <v>0</v>
      </c>
      <c r="J426" s="22">
        <f>F426*G426</f>
        <v>0</v>
      </c>
      <c r="K426" s="22">
        <v>0.0008</v>
      </c>
      <c r="L426" s="22">
        <f>F426*K426</f>
        <v>0.0032</v>
      </c>
      <c r="M426" s="33" t="s">
        <v>1040</v>
      </c>
      <c r="P426" s="36">
        <f>IF(AG426="5",J426,0)</f>
        <v>0</v>
      </c>
      <c r="R426" s="36">
        <f>IF(AG426="1",H426,0)</f>
        <v>0</v>
      </c>
      <c r="S426" s="36">
        <f>IF(AG426="1",I426,0)</f>
        <v>0</v>
      </c>
      <c r="T426" s="36">
        <f>IF(AG426="7",H426,0)</f>
        <v>0</v>
      </c>
      <c r="U426" s="36">
        <f>IF(AG426="7",I426,0)</f>
        <v>0</v>
      </c>
      <c r="V426" s="36">
        <f>IF(AG426="2",H426,0)</f>
        <v>0</v>
      </c>
      <c r="W426" s="36">
        <f>IF(AG426="2",I426,0)</f>
        <v>0</v>
      </c>
      <c r="X426" s="36">
        <f>IF(AG426="0",J426,0)</f>
        <v>0</v>
      </c>
      <c r="Y426" s="29"/>
      <c r="Z426" s="22">
        <f>IF(AD426=0,J426,0)</f>
        <v>0</v>
      </c>
      <c r="AA426" s="22">
        <f>IF(AD426=15,J426,0)</f>
        <v>0</v>
      </c>
      <c r="AB426" s="22">
        <f>IF(AD426=21,J426,0)</f>
        <v>0</v>
      </c>
      <c r="AD426" s="36">
        <v>21</v>
      </c>
      <c r="AE426" s="36">
        <f>G426*1</f>
        <v>0</v>
      </c>
      <c r="AF426" s="36">
        <f>G426*(1-1)</f>
        <v>0</v>
      </c>
      <c r="AG426" s="33" t="s">
        <v>13</v>
      </c>
      <c r="AM426" s="36">
        <f>F426*AE426</f>
        <v>0</v>
      </c>
      <c r="AN426" s="36">
        <f>F426*AF426</f>
        <v>0</v>
      </c>
      <c r="AO426" s="37" t="s">
        <v>1081</v>
      </c>
      <c r="AP426" s="37" t="s">
        <v>1098</v>
      </c>
      <c r="AQ426" s="29" t="s">
        <v>1101</v>
      </c>
      <c r="AS426" s="36">
        <f>AM426+AN426</f>
        <v>0</v>
      </c>
      <c r="AT426" s="36">
        <f>G426/(100-AU426)*100</f>
        <v>0</v>
      </c>
      <c r="AU426" s="36">
        <v>0</v>
      </c>
      <c r="AV426" s="36">
        <f>L426</f>
        <v>0.0032</v>
      </c>
    </row>
    <row r="427" spans="1:48" ht="12.75">
      <c r="A427" s="6" t="s">
        <v>212</v>
      </c>
      <c r="B427" s="6"/>
      <c r="C427" s="6" t="s">
        <v>470</v>
      </c>
      <c r="D427" s="6" t="s">
        <v>915</v>
      </c>
      <c r="E427" s="6" t="s">
        <v>1018</v>
      </c>
      <c r="F427" s="22">
        <v>9</v>
      </c>
      <c r="G427" s="22">
        <v>0</v>
      </c>
      <c r="H427" s="22">
        <f>F427*AE427</f>
        <v>0</v>
      </c>
      <c r="I427" s="22">
        <f>J427-H427</f>
        <v>0</v>
      </c>
      <c r="J427" s="22">
        <f>F427*G427</f>
        <v>0</v>
      </c>
      <c r="K427" s="22">
        <v>0.017</v>
      </c>
      <c r="L427" s="22">
        <f>F427*K427</f>
        <v>0.15300000000000002</v>
      </c>
      <c r="M427" s="33" t="s">
        <v>1040</v>
      </c>
      <c r="P427" s="36">
        <f>IF(AG427="5",J427,0)</f>
        <v>0</v>
      </c>
      <c r="R427" s="36">
        <f>IF(AG427="1",H427,0)</f>
        <v>0</v>
      </c>
      <c r="S427" s="36">
        <f>IF(AG427="1",I427,0)</f>
        <v>0</v>
      </c>
      <c r="T427" s="36">
        <f>IF(AG427="7",H427,0)</f>
        <v>0</v>
      </c>
      <c r="U427" s="36">
        <f>IF(AG427="7",I427,0)</f>
        <v>0</v>
      </c>
      <c r="V427" s="36">
        <f>IF(AG427="2",H427,0)</f>
        <v>0</v>
      </c>
      <c r="W427" s="36">
        <f>IF(AG427="2",I427,0)</f>
        <v>0</v>
      </c>
      <c r="X427" s="36">
        <f>IF(AG427="0",J427,0)</f>
        <v>0</v>
      </c>
      <c r="Y427" s="29"/>
      <c r="Z427" s="22">
        <f>IF(AD427=0,J427,0)</f>
        <v>0</v>
      </c>
      <c r="AA427" s="22">
        <f>IF(AD427=15,J427,0)</f>
        <v>0</v>
      </c>
      <c r="AB427" s="22">
        <f>IF(AD427=21,J427,0)</f>
        <v>0</v>
      </c>
      <c r="AD427" s="36">
        <v>21</v>
      </c>
      <c r="AE427" s="36">
        <f>G427*1</f>
        <v>0</v>
      </c>
      <c r="AF427" s="36">
        <f>G427*(1-1)</f>
        <v>0</v>
      </c>
      <c r="AG427" s="33" t="s">
        <v>13</v>
      </c>
      <c r="AM427" s="36">
        <f>F427*AE427</f>
        <v>0</v>
      </c>
      <c r="AN427" s="36">
        <f>F427*AF427</f>
        <v>0</v>
      </c>
      <c r="AO427" s="37" t="s">
        <v>1081</v>
      </c>
      <c r="AP427" s="37" t="s">
        <v>1098</v>
      </c>
      <c r="AQ427" s="29" t="s">
        <v>1101</v>
      </c>
      <c r="AS427" s="36">
        <f>AM427+AN427</f>
        <v>0</v>
      </c>
      <c r="AT427" s="36">
        <f>G427/(100-AU427)*100</f>
        <v>0</v>
      </c>
      <c r="AU427" s="36">
        <v>0</v>
      </c>
      <c r="AV427" s="36">
        <f>L427</f>
        <v>0.15300000000000002</v>
      </c>
    </row>
    <row r="428" spans="3:13" ht="12.75">
      <c r="C428" s="14" t="s">
        <v>255</v>
      </c>
      <c r="D428" s="91" t="s">
        <v>916</v>
      </c>
      <c r="E428" s="92"/>
      <c r="F428" s="92"/>
      <c r="G428" s="92"/>
      <c r="H428" s="92"/>
      <c r="I428" s="92"/>
      <c r="J428" s="92"/>
      <c r="K428" s="92"/>
      <c r="L428" s="92"/>
      <c r="M428" s="92"/>
    </row>
    <row r="429" spans="1:48" ht="12.75">
      <c r="A429" s="6" t="s">
        <v>213</v>
      </c>
      <c r="B429" s="6"/>
      <c r="C429" s="6" t="s">
        <v>471</v>
      </c>
      <c r="D429" s="6" t="s">
        <v>917</v>
      </c>
      <c r="E429" s="6" t="s">
        <v>1018</v>
      </c>
      <c r="F429" s="22">
        <v>8</v>
      </c>
      <c r="G429" s="22">
        <v>0</v>
      </c>
      <c r="H429" s="22">
        <f>F429*AE429</f>
        <v>0</v>
      </c>
      <c r="I429" s="22">
        <f>J429-H429</f>
        <v>0</v>
      </c>
      <c r="J429" s="22">
        <f>F429*G429</f>
        <v>0</v>
      </c>
      <c r="K429" s="22">
        <v>0.019</v>
      </c>
      <c r="L429" s="22">
        <f>F429*K429</f>
        <v>0.152</v>
      </c>
      <c r="M429" s="33" t="s">
        <v>1040</v>
      </c>
      <c r="P429" s="36">
        <f>IF(AG429="5",J429,0)</f>
        <v>0</v>
      </c>
      <c r="R429" s="36">
        <f>IF(AG429="1",H429,0)</f>
        <v>0</v>
      </c>
      <c r="S429" s="36">
        <f>IF(AG429="1",I429,0)</f>
        <v>0</v>
      </c>
      <c r="T429" s="36">
        <f>IF(AG429="7",H429,0)</f>
        <v>0</v>
      </c>
      <c r="U429" s="36">
        <f>IF(AG429="7",I429,0)</f>
        <v>0</v>
      </c>
      <c r="V429" s="36">
        <f>IF(AG429="2",H429,0)</f>
        <v>0</v>
      </c>
      <c r="W429" s="36">
        <f>IF(AG429="2",I429,0)</f>
        <v>0</v>
      </c>
      <c r="X429" s="36">
        <f>IF(AG429="0",J429,0)</f>
        <v>0</v>
      </c>
      <c r="Y429" s="29"/>
      <c r="Z429" s="22">
        <f>IF(AD429=0,J429,0)</f>
        <v>0</v>
      </c>
      <c r="AA429" s="22">
        <f>IF(AD429=15,J429,0)</f>
        <v>0</v>
      </c>
      <c r="AB429" s="22">
        <f>IF(AD429=21,J429,0)</f>
        <v>0</v>
      </c>
      <c r="AD429" s="36">
        <v>21</v>
      </c>
      <c r="AE429" s="36">
        <f>G429*1</f>
        <v>0</v>
      </c>
      <c r="AF429" s="36">
        <f>G429*(1-1)</f>
        <v>0</v>
      </c>
      <c r="AG429" s="33" t="s">
        <v>13</v>
      </c>
      <c r="AM429" s="36">
        <f>F429*AE429</f>
        <v>0</v>
      </c>
      <c r="AN429" s="36">
        <f>F429*AF429</f>
        <v>0</v>
      </c>
      <c r="AO429" s="37" t="s">
        <v>1081</v>
      </c>
      <c r="AP429" s="37" t="s">
        <v>1098</v>
      </c>
      <c r="AQ429" s="29" t="s">
        <v>1101</v>
      </c>
      <c r="AS429" s="36">
        <f>AM429+AN429</f>
        <v>0</v>
      </c>
      <c r="AT429" s="36">
        <f>G429/(100-AU429)*100</f>
        <v>0</v>
      </c>
      <c r="AU429" s="36">
        <v>0</v>
      </c>
      <c r="AV429" s="36">
        <f>L429</f>
        <v>0.152</v>
      </c>
    </row>
    <row r="430" spans="3:13" ht="12.75">
      <c r="C430" s="14" t="s">
        <v>255</v>
      </c>
      <c r="D430" s="91" t="s">
        <v>916</v>
      </c>
      <c r="E430" s="92"/>
      <c r="F430" s="92"/>
      <c r="G430" s="92"/>
      <c r="H430" s="92"/>
      <c r="I430" s="92"/>
      <c r="J430" s="92"/>
      <c r="K430" s="92"/>
      <c r="L430" s="92"/>
      <c r="M430" s="92"/>
    </row>
    <row r="431" spans="1:48" ht="12.75">
      <c r="A431" s="4" t="s">
        <v>214</v>
      </c>
      <c r="B431" s="4"/>
      <c r="C431" s="4" t="s">
        <v>472</v>
      </c>
      <c r="D431" s="4" t="s">
        <v>918</v>
      </c>
      <c r="E431" s="4" t="s">
        <v>1018</v>
      </c>
      <c r="F431" s="20">
        <v>4</v>
      </c>
      <c r="G431" s="20">
        <v>0</v>
      </c>
      <c r="H431" s="20">
        <f>F431*AE431</f>
        <v>0</v>
      </c>
      <c r="I431" s="20">
        <f>J431-H431</f>
        <v>0</v>
      </c>
      <c r="J431" s="20">
        <f>F431*G431</f>
        <v>0</v>
      </c>
      <c r="K431" s="20">
        <v>0.0009</v>
      </c>
      <c r="L431" s="20">
        <f>F431*K431</f>
        <v>0.0036</v>
      </c>
      <c r="M431" s="32" t="s">
        <v>1040</v>
      </c>
      <c r="P431" s="36">
        <f>IF(AG431="5",J431,0)</f>
        <v>0</v>
      </c>
      <c r="R431" s="36">
        <f>IF(AG431="1",H431,0)</f>
        <v>0</v>
      </c>
      <c r="S431" s="36">
        <f>IF(AG431="1",I431,0)</f>
        <v>0</v>
      </c>
      <c r="T431" s="36">
        <f>IF(AG431="7",H431,0)</f>
        <v>0</v>
      </c>
      <c r="U431" s="36">
        <f>IF(AG431="7",I431,0)</f>
        <v>0</v>
      </c>
      <c r="V431" s="36">
        <f>IF(AG431="2",H431,0)</f>
        <v>0</v>
      </c>
      <c r="W431" s="36">
        <f>IF(AG431="2",I431,0)</f>
        <v>0</v>
      </c>
      <c r="X431" s="36">
        <f>IF(AG431="0",J431,0)</f>
        <v>0</v>
      </c>
      <c r="Y431" s="29"/>
      <c r="Z431" s="20">
        <f>IF(AD431=0,J431,0)</f>
        <v>0</v>
      </c>
      <c r="AA431" s="20">
        <f>IF(AD431=15,J431,0)</f>
        <v>0</v>
      </c>
      <c r="AB431" s="20">
        <f>IF(AD431=21,J431,0)</f>
        <v>0</v>
      </c>
      <c r="AD431" s="36">
        <v>21</v>
      </c>
      <c r="AE431" s="36">
        <f>G431*0.107455156950673</f>
        <v>0</v>
      </c>
      <c r="AF431" s="36">
        <f>G431*(1-0.107455156950673)</f>
        <v>0</v>
      </c>
      <c r="AG431" s="32" t="s">
        <v>13</v>
      </c>
      <c r="AM431" s="36">
        <f>F431*AE431</f>
        <v>0</v>
      </c>
      <c r="AN431" s="36">
        <f>F431*AF431</f>
        <v>0</v>
      </c>
      <c r="AO431" s="37" t="s">
        <v>1081</v>
      </c>
      <c r="AP431" s="37" t="s">
        <v>1098</v>
      </c>
      <c r="AQ431" s="29" t="s">
        <v>1101</v>
      </c>
      <c r="AS431" s="36">
        <f>AM431+AN431</f>
        <v>0</v>
      </c>
      <c r="AT431" s="36">
        <f>G431/(100-AU431)*100</f>
        <v>0</v>
      </c>
      <c r="AU431" s="36">
        <v>0</v>
      </c>
      <c r="AV431" s="36">
        <f>L431</f>
        <v>0.0036</v>
      </c>
    </row>
    <row r="432" spans="1:48" ht="12.75">
      <c r="A432" s="6" t="s">
        <v>215</v>
      </c>
      <c r="B432" s="6"/>
      <c r="C432" s="6" t="s">
        <v>473</v>
      </c>
      <c r="D432" s="6" t="s">
        <v>919</v>
      </c>
      <c r="E432" s="6" t="s">
        <v>1018</v>
      </c>
      <c r="F432" s="22">
        <v>8</v>
      </c>
      <c r="G432" s="22">
        <v>0</v>
      </c>
      <c r="H432" s="22">
        <f>F432*AE432</f>
        <v>0</v>
      </c>
      <c r="I432" s="22">
        <f>J432-H432</f>
        <v>0</v>
      </c>
      <c r="J432" s="22">
        <f>F432*G432</f>
        <v>0</v>
      </c>
      <c r="K432" s="22">
        <v>0</v>
      </c>
      <c r="L432" s="22">
        <f>F432*K432</f>
        <v>0</v>
      </c>
      <c r="M432" s="33" t="s">
        <v>1040</v>
      </c>
      <c r="P432" s="36">
        <f>IF(AG432="5",J432,0)</f>
        <v>0</v>
      </c>
      <c r="R432" s="36">
        <f>IF(AG432="1",H432,0)</f>
        <v>0</v>
      </c>
      <c r="S432" s="36">
        <f>IF(AG432="1",I432,0)</f>
        <v>0</v>
      </c>
      <c r="T432" s="36">
        <f>IF(AG432="7",H432,0)</f>
        <v>0</v>
      </c>
      <c r="U432" s="36">
        <f>IF(AG432="7",I432,0)</f>
        <v>0</v>
      </c>
      <c r="V432" s="36">
        <f>IF(AG432="2",H432,0)</f>
        <v>0</v>
      </c>
      <c r="W432" s="36">
        <f>IF(AG432="2",I432,0)</f>
        <v>0</v>
      </c>
      <c r="X432" s="36">
        <f>IF(AG432="0",J432,0)</f>
        <v>0</v>
      </c>
      <c r="Y432" s="29"/>
      <c r="Z432" s="22">
        <f>IF(AD432=0,J432,0)</f>
        <v>0</v>
      </c>
      <c r="AA432" s="22">
        <f>IF(AD432=15,J432,0)</f>
        <v>0</v>
      </c>
      <c r="AB432" s="22">
        <f>IF(AD432=21,J432,0)</f>
        <v>0</v>
      </c>
      <c r="AD432" s="36">
        <v>21</v>
      </c>
      <c r="AE432" s="36">
        <f>G432*1</f>
        <v>0</v>
      </c>
      <c r="AF432" s="36">
        <f>G432*(1-1)</f>
        <v>0</v>
      </c>
      <c r="AG432" s="33" t="s">
        <v>13</v>
      </c>
      <c r="AM432" s="36">
        <f>F432*AE432</f>
        <v>0</v>
      </c>
      <c r="AN432" s="36">
        <f>F432*AF432</f>
        <v>0</v>
      </c>
      <c r="AO432" s="37" t="s">
        <v>1081</v>
      </c>
      <c r="AP432" s="37" t="s">
        <v>1098</v>
      </c>
      <c r="AQ432" s="29" t="s">
        <v>1101</v>
      </c>
      <c r="AS432" s="36">
        <f>AM432+AN432</f>
        <v>0</v>
      </c>
      <c r="AT432" s="36">
        <f>G432/(100-AU432)*100</f>
        <v>0</v>
      </c>
      <c r="AU432" s="36">
        <v>0</v>
      </c>
      <c r="AV432" s="36">
        <f>L432</f>
        <v>0</v>
      </c>
    </row>
    <row r="433" spans="1:48" ht="12.75">
      <c r="A433" s="6" t="s">
        <v>216</v>
      </c>
      <c r="B433" s="6"/>
      <c r="C433" s="6" t="s">
        <v>474</v>
      </c>
      <c r="D433" s="6" t="s">
        <v>920</v>
      </c>
      <c r="E433" s="6" t="s">
        <v>1018</v>
      </c>
      <c r="F433" s="22">
        <v>4</v>
      </c>
      <c r="G433" s="22">
        <v>0</v>
      </c>
      <c r="H433" s="22">
        <f>F433*AE433</f>
        <v>0</v>
      </c>
      <c r="I433" s="22">
        <f>J433-H433</f>
        <v>0</v>
      </c>
      <c r="J433" s="22">
        <f>F433*G433</f>
        <v>0</v>
      </c>
      <c r="K433" s="22">
        <v>0.023</v>
      </c>
      <c r="L433" s="22">
        <f>F433*K433</f>
        <v>0.092</v>
      </c>
      <c r="M433" s="33" t="s">
        <v>1040</v>
      </c>
      <c r="P433" s="36">
        <f>IF(AG433="5",J433,0)</f>
        <v>0</v>
      </c>
      <c r="R433" s="36">
        <f>IF(AG433="1",H433,0)</f>
        <v>0</v>
      </c>
      <c r="S433" s="36">
        <f>IF(AG433="1",I433,0)</f>
        <v>0</v>
      </c>
      <c r="T433" s="36">
        <f>IF(AG433="7",H433,0)</f>
        <v>0</v>
      </c>
      <c r="U433" s="36">
        <f>IF(AG433="7",I433,0)</f>
        <v>0</v>
      </c>
      <c r="V433" s="36">
        <f>IF(AG433="2",H433,0)</f>
        <v>0</v>
      </c>
      <c r="W433" s="36">
        <f>IF(AG433="2",I433,0)</f>
        <v>0</v>
      </c>
      <c r="X433" s="36">
        <f>IF(AG433="0",J433,0)</f>
        <v>0</v>
      </c>
      <c r="Y433" s="29"/>
      <c r="Z433" s="22">
        <f>IF(AD433=0,J433,0)</f>
        <v>0</v>
      </c>
      <c r="AA433" s="22">
        <f>IF(AD433=15,J433,0)</f>
        <v>0</v>
      </c>
      <c r="AB433" s="22">
        <f>IF(AD433=21,J433,0)</f>
        <v>0</v>
      </c>
      <c r="AD433" s="36">
        <v>21</v>
      </c>
      <c r="AE433" s="36">
        <f>G433*1</f>
        <v>0</v>
      </c>
      <c r="AF433" s="36">
        <f>G433*(1-1)</f>
        <v>0</v>
      </c>
      <c r="AG433" s="33" t="s">
        <v>13</v>
      </c>
      <c r="AM433" s="36">
        <f>F433*AE433</f>
        <v>0</v>
      </c>
      <c r="AN433" s="36">
        <f>F433*AF433</f>
        <v>0</v>
      </c>
      <c r="AO433" s="37" t="s">
        <v>1081</v>
      </c>
      <c r="AP433" s="37" t="s">
        <v>1098</v>
      </c>
      <c r="AQ433" s="29" t="s">
        <v>1101</v>
      </c>
      <c r="AS433" s="36">
        <f>AM433+AN433</f>
        <v>0</v>
      </c>
      <c r="AT433" s="36">
        <f>G433/(100-AU433)*100</f>
        <v>0</v>
      </c>
      <c r="AU433" s="36">
        <v>0</v>
      </c>
      <c r="AV433" s="36">
        <f>L433</f>
        <v>0.092</v>
      </c>
    </row>
    <row r="434" spans="3:13" ht="12.75">
      <c r="C434" s="14" t="s">
        <v>255</v>
      </c>
      <c r="D434" s="91" t="s">
        <v>921</v>
      </c>
      <c r="E434" s="92"/>
      <c r="F434" s="92"/>
      <c r="G434" s="92"/>
      <c r="H434" s="92"/>
      <c r="I434" s="92"/>
      <c r="J434" s="92"/>
      <c r="K434" s="92"/>
      <c r="L434" s="92"/>
      <c r="M434" s="92"/>
    </row>
    <row r="435" spans="1:48" ht="12.75">
      <c r="A435" s="4" t="s">
        <v>217</v>
      </c>
      <c r="B435" s="4"/>
      <c r="C435" s="4" t="s">
        <v>475</v>
      </c>
      <c r="D435" s="4" t="s">
        <v>922</v>
      </c>
      <c r="E435" s="4" t="s">
        <v>1016</v>
      </c>
      <c r="F435" s="20">
        <v>46.6155</v>
      </c>
      <c r="G435" s="20">
        <v>0</v>
      </c>
      <c r="H435" s="20">
        <f>F435*AE435</f>
        <v>0</v>
      </c>
      <c r="I435" s="20">
        <f>J435-H435</f>
        <v>0</v>
      </c>
      <c r="J435" s="20">
        <f>F435*G435</f>
        <v>0</v>
      </c>
      <c r="K435" s="20">
        <v>0.00019</v>
      </c>
      <c r="L435" s="20">
        <f>F435*K435</f>
        <v>0.008856945</v>
      </c>
      <c r="M435" s="32" t="s">
        <v>1040</v>
      </c>
      <c r="P435" s="36">
        <f>IF(AG435="5",J435,0)</f>
        <v>0</v>
      </c>
      <c r="R435" s="36">
        <f>IF(AG435="1",H435,0)</f>
        <v>0</v>
      </c>
      <c r="S435" s="36">
        <f>IF(AG435="1",I435,0)</f>
        <v>0</v>
      </c>
      <c r="T435" s="36">
        <f>IF(AG435="7",H435,0)</f>
        <v>0</v>
      </c>
      <c r="U435" s="36">
        <f>IF(AG435="7",I435,0)</f>
        <v>0</v>
      </c>
      <c r="V435" s="36">
        <f>IF(AG435="2",H435,0)</f>
        <v>0</v>
      </c>
      <c r="W435" s="36">
        <f>IF(AG435="2",I435,0)</f>
        <v>0</v>
      </c>
      <c r="X435" s="36">
        <f>IF(AG435="0",J435,0)</f>
        <v>0</v>
      </c>
      <c r="Y435" s="29"/>
      <c r="Z435" s="20">
        <f>IF(AD435=0,J435,0)</f>
        <v>0</v>
      </c>
      <c r="AA435" s="20">
        <f>IF(AD435=15,J435,0)</f>
        <v>0</v>
      </c>
      <c r="AB435" s="20">
        <f>IF(AD435=21,J435,0)</f>
        <v>0</v>
      </c>
      <c r="AD435" s="36">
        <v>21</v>
      </c>
      <c r="AE435" s="36">
        <f>G435*0.0242751842751843</f>
        <v>0</v>
      </c>
      <c r="AF435" s="36">
        <f>G435*(1-0.0242751842751843)</f>
        <v>0</v>
      </c>
      <c r="AG435" s="32" t="s">
        <v>13</v>
      </c>
      <c r="AM435" s="36">
        <f>F435*AE435</f>
        <v>0</v>
      </c>
      <c r="AN435" s="36">
        <f>F435*AF435</f>
        <v>0</v>
      </c>
      <c r="AO435" s="37" t="s">
        <v>1081</v>
      </c>
      <c r="AP435" s="37" t="s">
        <v>1098</v>
      </c>
      <c r="AQ435" s="29" t="s">
        <v>1101</v>
      </c>
      <c r="AS435" s="36">
        <f>AM435+AN435</f>
        <v>0</v>
      </c>
      <c r="AT435" s="36">
        <f>G435/(100-AU435)*100</f>
        <v>0</v>
      </c>
      <c r="AU435" s="36">
        <v>0</v>
      </c>
      <c r="AV435" s="36">
        <f>L435</f>
        <v>0.008856945</v>
      </c>
    </row>
    <row r="436" spans="4:6" ht="12.75">
      <c r="D436" s="17" t="s">
        <v>923</v>
      </c>
      <c r="F436" s="21">
        <v>46.6155</v>
      </c>
    </row>
    <row r="437" spans="1:48" ht="12.75">
      <c r="A437" s="6" t="s">
        <v>218</v>
      </c>
      <c r="B437" s="6"/>
      <c r="C437" s="6" t="s">
        <v>476</v>
      </c>
      <c r="D437" s="6" t="s">
        <v>924</v>
      </c>
      <c r="E437" s="6" t="s">
        <v>1016</v>
      </c>
      <c r="F437" s="22">
        <v>50.34474</v>
      </c>
      <c r="G437" s="22">
        <v>0</v>
      </c>
      <c r="H437" s="22">
        <f>F437*AE437</f>
        <v>0</v>
      </c>
      <c r="I437" s="22">
        <f>J437-H437</f>
        <v>0</v>
      </c>
      <c r="J437" s="22">
        <f>F437*G437</f>
        <v>0</v>
      </c>
      <c r="K437" s="22">
        <v>0.0098</v>
      </c>
      <c r="L437" s="22">
        <f>F437*K437</f>
        <v>0.493378452</v>
      </c>
      <c r="M437" s="33" t="s">
        <v>1040</v>
      </c>
      <c r="P437" s="36">
        <f>IF(AG437="5",J437,0)</f>
        <v>0</v>
      </c>
      <c r="R437" s="36">
        <f>IF(AG437="1",H437,0)</f>
        <v>0</v>
      </c>
      <c r="S437" s="36">
        <f>IF(AG437="1",I437,0)</f>
        <v>0</v>
      </c>
      <c r="T437" s="36">
        <f>IF(AG437="7",H437,0)</f>
        <v>0</v>
      </c>
      <c r="U437" s="36">
        <f>IF(AG437="7",I437,0)</f>
        <v>0</v>
      </c>
      <c r="V437" s="36">
        <f>IF(AG437="2",H437,0)</f>
        <v>0</v>
      </c>
      <c r="W437" s="36">
        <f>IF(AG437="2",I437,0)</f>
        <v>0</v>
      </c>
      <c r="X437" s="36">
        <f>IF(AG437="0",J437,0)</f>
        <v>0</v>
      </c>
      <c r="Y437" s="29"/>
      <c r="Z437" s="22">
        <f>IF(AD437=0,J437,0)</f>
        <v>0</v>
      </c>
      <c r="AA437" s="22">
        <f>IF(AD437=15,J437,0)</f>
        <v>0</v>
      </c>
      <c r="AB437" s="22">
        <f>IF(AD437=21,J437,0)</f>
        <v>0</v>
      </c>
      <c r="AD437" s="36">
        <v>21</v>
      </c>
      <c r="AE437" s="36">
        <f>G437*1</f>
        <v>0</v>
      </c>
      <c r="AF437" s="36">
        <f>G437*(1-1)</f>
        <v>0</v>
      </c>
      <c r="AG437" s="33" t="s">
        <v>13</v>
      </c>
      <c r="AM437" s="36">
        <f>F437*AE437</f>
        <v>0</v>
      </c>
      <c r="AN437" s="36">
        <f>F437*AF437</f>
        <v>0</v>
      </c>
      <c r="AO437" s="37" t="s">
        <v>1081</v>
      </c>
      <c r="AP437" s="37" t="s">
        <v>1098</v>
      </c>
      <c r="AQ437" s="29" t="s">
        <v>1101</v>
      </c>
      <c r="AS437" s="36">
        <f>AM437+AN437</f>
        <v>0</v>
      </c>
      <c r="AT437" s="36">
        <f>G437/(100-AU437)*100</f>
        <v>0</v>
      </c>
      <c r="AU437" s="36">
        <v>0</v>
      </c>
      <c r="AV437" s="36">
        <f>L437</f>
        <v>0.493378452</v>
      </c>
    </row>
    <row r="438" spans="4:6" ht="12.75">
      <c r="D438" s="17" t="s">
        <v>925</v>
      </c>
      <c r="F438" s="21">
        <v>46.6155</v>
      </c>
    </row>
    <row r="439" spans="4:6" ht="12.75">
      <c r="D439" s="17" t="s">
        <v>926</v>
      </c>
      <c r="F439" s="21">
        <v>3.72924</v>
      </c>
    </row>
    <row r="440" spans="1:48" ht="12.75">
      <c r="A440" s="4" t="s">
        <v>219</v>
      </c>
      <c r="B440" s="4"/>
      <c r="C440" s="4" t="s">
        <v>477</v>
      </c>
      <c r="D440" s="4" t="s">
        <v>927</v>
      </c>
      <c r="E440" s="4" t="s">
        <v>1019</v>
      </c>
      <c r="F440" s="20">
        <v>40.9275</v>
      </c>
      <c r="G440" s="20">
        <v>0</v>
      </c>
      <c r="H440" s="20">
        <f>F440*AE440</f>
        <v>0</v>
      </c>
      <c r="I440" s="20">
        <f>J440-H440</f>
        <v>0</v>
      </c>
      <c r="J440" s="20">
        <f>F440*G440</f>
        <v>0</v>
      </c>
      <c r="K440" s="20">
        <v>0.00018</v>
      </c>
      <c r="L440" s="20">
        <f>F440*K440</f>
        <v>0.007366950000000001</v>
      </c>
      <c r="M440" s="32" t="s">
        <v>1040</v>
      </c>
      <c r="P440" s="36">
        <f>IF(AG440="5",J440,0)</f>
        <v>0</v>
      </c>
      <c r="R440" s="36">
        <f>IF(AG440="1",H440,0)</f>
        <v>0</v>
      </c>
      <c r="S440" s="36">
        <f>IF(AG440="1",I440,0)</f>
        <v>0</v>
      </c>
      <c r="T440" s="36">
        <f>IF(AG440="7",H440,0)</f>
        <v>0</v>
      </c>
      <c r="U440" s="36">
        <f>IF(AG440="7",I440,0)</f>
        <v>0</v>
      </c>
      <c r="V440" s="36">
        <f>IF(AG440="2",H440,0)</f>
        <v>0</v>
      </c>
      <c r="W440" s="36">
        <f>IF(AG440="2",I440,0)</f>
        <v>0</v>
      </c>
      <c r="X440" s="36">
        <f>IF(AG440="0",J440,0)</f>
        <v>0</v>
      </c>
      <c r="Y440" s="29"/>
      <c r="Z440" s="20">
        <f>IF(AD440=0,J440,0)</f>
        <v>0</v>
      </c>
      <c r="AA440" s="20">
        <f>IF(AD440=15,J440,0)</f>
        <v>0</v>
      </c>
      <c r="AB440" s="20">
        <f>IF(AD440=21,J440,0)</f>
        <v>0</v>
      </c>
      <c r="AD440" s="36">
        <v>21</v>
      </c>
      <c r="AE440" s="36">
        <f>G440*0.097869101978691</f>
        <v>0</v>
      </c>
      <c r="AF440" s="36">
        <f>G440*(1-0.097869101978691)</f>
        <v>0</v>
      </c>
      <c r="AG440" s="32" t="s">
        <v>13</v>
      </c>
      <c r="AM440" s="36">
        <f>F440*AE440</f>
        <v>0</v>
      </c>
      <c r="AN440" s="36">
        <f>F440*AF440</f>
        <v>0</v>
      </c>
      <c r="AO440" s="37" t="s">
        <v>1081</v>
      </c>
      <c r="AP440" s="37" t="s">
        <v>1098</v>
      </c>
      <c r="AQ440" s="29" t="s">
        <v>1101</v>
      </c>
      <c r="AS440" s="36">
        <f>AM440+AN440</f>
        <v>0</v>
      </c>
      <c r="AT440" s="36">
        <f>G440/(100-AU440)*100</f>
        <v>0</v>
      </c>
      <c r="AU440" s="36">
        <v>0</v>
      </c>
      <c r="AV440" s="36">
        <f>L440</f>
        <v>0.007366950000000001</v>
      </c>
    </row>
    <row r="441" spans="4:6" ht="12.75">
      <c r="D441" s="17" t="s">
        <v>928</v>
      </c>
      <c r="F441" s="21">
        <v>40.9275</v>
      </c>
    </row>
    <row r="442" spans="1:48" ht="12.75">
      <c r="A442" s="6" t="s">
        <v>220</v>
      </c>
      <c r="B442" s="6"/>
      <c r="C442" s="6" t="s">
        <v>478</v>
      </c>
      <c r="D442" s="6" t="s">
        <v>929</v>
      </c>
      <c r="E442" s="6" t="s">
        <v>1019</v>
      </c>
      <c r="F442" s="22">
        <v>45.02025</v>
      </c>
      <c r="G442" s="22">
        <v>0</v>
      </c>
      <c r="H442" s="22">
        <f>F442*AE442</f>
        <v>0</v>
      </c>
      <c r="I442" s="22">
        <f>J442-H442</f>
        <v>0</v>
      </c>
      <c r="J442" s="22">
        <f>F442*G442</f>
        <v>0</v>
      </c>
      <c r="K442" s="22">
        <v>0.00132</v>
      </c>
      <c r="L442" s="22">
        <f>F442*K442</f>
        <v>0.05942673</v>
      </c>
      <c r="M442" s="33" t="s">
        <v>1040</v>
      </c>
      <c r="P442" s="36">
        <f>IF(AG442="5",J442,0)</f>
        <v>0</v>
      </c>
      <c r="R442" s="36">
        <f>IF(AG442="1",H442,0)</f>
        <v>0</v>
      </c>
      <c r="S442" s="36">
        <f>IF(AG442="1",I442,0)</f>
        <v>0</v>
      </c>
      <c r="T442" s="36">
        <f>IF(AG442="7",H442,0)</f>
        <v>0</v>
      </c>
      <c r="U442" s="36">
        <f>IF(AG442="7",I442,0)</f>
        <v>0</v>
      </c>
      <c r="V442" s="36">
        <f>IF(AG442="2",H442,0)</f>
        <v>0</v>
      </c>
      <c r="W442" s="36">
        <f>IF(AG442="2",I442,0)</f>
        <v>0</v>
      </c>
      <c r="X442" s="36">
        <f>IF(AG442="0",J442,0)</f>
        <v>0</v>
      </c>
      <c r="Y442" s="29"/>
      <c r="Z442" s="22">
        <f>IF(AD442=0,J442,0)</f>
        <v>0</v>
      </c>
      <c r="AA442" s="22">
        <f>IF(AD442=15,J442,0)</f>
        <v>0</v>
      </c>
      <c r="AB442" s="22">
        <f>IF(AD442=21,J442,0)</f>
        <v>0</v>
      </c>
      <c r="AD442" s="36">
        <v>21</v>
      </c>
      <c r="AE442" s="36">
        <f>G442*1</f>
        <v>0</v>
      </c>
      <c r="AF442" s="36">
        <f>G442*(1-1)</f>
        <v>0</v>
      </c>
      <c r="AG442" s="33" t="s">
        <v>13</v>
      </c>
      <c r="AM442" s="36">
        <f>F442*AE442</f>
        <v>0</v>
      </c>
      <c r="AN442" s="36">
        <f>F442*AF442</f>
        <v>0</v>
      </c>
      <c r="AO442" s="37" t="s">
        <v>1081</v>
      </c>
      <c r="AP442" s="37" t="s">
        <v>1098</v>
      </c>
      <c r="AQ442" s="29" t="s">
        <v>1101</v>
      </c>
      <c r="AS442" s="36">
        <f>AM442+AN442</f>
        <v>0</v>
      </c>
      <c r="AT442" s="36">
        <f>G442/(100-AU442)*100</f>
        <v>0</v>
      </c>
      <c r="AU442" s="36">
        <v>0</v>
      </c>
      <c r="AV442" s="36">
        <f>L442</f>
        <v>0.05942673</v>
      </c>
    </row>
    <row r="443" spans="4:6" ht="12.75">
      <c r="D443" s="17" t="s">
        <v>930</v>
      </c>
      <c r="F443" s="21">
        <v>40.9275</v>
      </c>
    </row>
    <row r="444" spans="4:6" ht="12.75">
      <c r="D444" s="17" t="s">
        <v>931</v>
      </c>
      <c r="F444" s="21">
        <v>4.09275</v>
      </c>
    </row>
    <row r="445" spans="1:48" ht="12.75">
      <c r="A445" s="4" t="s">
        <v>221</v>
      </c>
      <c r="B445" s="4"/>
      <c r="C445" s="4" t="s">
        <v>479</v>
      </c>
      <c r="D445" s="4" t="s">
        <v>932</v>
      </c>
      <c r="E445" s="4" t="s">
        <v>1019</v>
      </c>
      <c r="F445" s="20">
        <v>1.2</v>
      </c>
      <c r="G445" s="20">
        <v>0</v>
      </c>
      <c r="H445" s="20">
        <f>F445*AE445</f>
        <v>0</v>
      </c>
      <c r="I445" s="20">
        <f>J445-H445</f>
        <v>0</v>
      </c>
      <c r="J445" s="20">
        <f>F445*G445</f>
        <v>0</v>
      </c>
      <c r="K445" s="20">
        <v>0.00016</v>
      </c>
      <c r="L445" s="20">
        <f>F445*K445</f>
        <v>0.000192</v>
      </c>
      <c r="M445" s="32" t="s">
        <v>1040</v>
      </c>
      <c r="P445" s="36">
        <f>IF(AG445="5",J445,0)</f>
        <v>0</v>
      </c>
      <c r="R445" s="36">
        <f>IF(AG445="1",H445,0)</f>
        <v>0</v>
      </c>
      <c r="S445" s="36">
        <f>IF(AG445="1",I445,0)</f>
        <v>0</v>
      </c>
      <c r="T445" s="36">
        <f>IF(AG445="7",H445,0)</f>
        <v>0</v>
      </c>
      <c r="U445" s="36">
        <f>IF(AG445="7",I445,0)</f>
        <v>0</v>
      </c>
      <c r="V445" s="36">
        <f>IF(AG445="2",H445,0)</f>
        <v>0</v>
      </c>
      <c r="W445" s="36">
        <f>IF(AG445="2",I445,0)</f>
        <v>0</v>
      </c>
      <c r="X445" s="36">
        <f>IF(AG445="0",J445,0)</f>
        <v>0</v>
      </c>
      <c r="Y445" s="29"/>
      <c r="Z445" s="20">
        <f>IF(AD445=0,J445,0)</f>
        <v>0</v>
      </c>
      <c r="AA445" s="20">
        <f>IF(AD445=15,J445,0)</f>
        <v>0</v>
      </c>
      <c r="AB445" s="20">
        <f>IF(AD445=21,J445,0)</f>
        <v>0</v>
      </c>
      <c r="AD445" s="36">
        <v>21</v>
      </c>
      <c r="AE445" s="36">
        <f>G445*0.147940074906367</f>
        <v>0</v>
      </c>
      <c r="AF445" s="36">
        <f>G445*(1-0.147940074906367)</f>
        <v>0</v>
      </c>
      <c r="AG445" s="32" t="s">
        <v>13</v>
      </c>
      <c r="AM445" s="36">
        <f>F445*AE445</f>
        <v>0</v>
      </c>
      <c r="AN445" s="36">
        <f>F445*AF445</f>
        <v>0</v>
      </c>
      <c r="AO445" s="37" t="s">
        <v>1081</v>
      </c>
      <c r="AP445" s="37" t="s">
        <v>1098</v>
      </c>
      <c r="AQ445" s="29" t="s">
        <v>1101</v>
      </c>
      <c r="AS445" s="36">
        <f>AM445+AN445</f>
        <v>0</v>
      </c>
      <c r="AT445" s="36">
        <f>G445/(100-AU445)*100</f>
        <v>0</v>
      </c>
      <c r="AU445" s="36">
        <v>0</v>
      </c>
      <c r="AV445" s="36">
        <f>L445</f>
        <v>0.000192</v>
      </c>
    </row>
    <row r="446" spans="4:6" ht="12.75">
      <c r="D446" s="17" t="s">
        <v>933</v>
      </c>
      <c r="F446" s="21">
        <v>1.2</v>
      </c>
    </row>
    <row r="447" spans="1:48" ht="12.75">
      <c r="A447" s="6" t="s">
        <v>222</v>
      </c>
      <c r="B447" s="6"/>
      <c r="C447" s="6" t="s">
        <v>480</v>
      </c>
      <c r="D447" s="6" t="s">
        <v>934</v>
      </c>
      <c r="E447" s="6" t="s">
        <v>1019</v>
      </c>
      <c r="F447" s="22">
        <v>1.32</v>
      </c>
      <c r="G447" s="22">
        <v>0</v>
      </c>
      <c r="H447" s="22">
        <f>F447*AE447</f>
        <v>0</v>
      </c>
      <c r="I447" s="22">
        <f>J447-H447</f>
        <v>0</v>
      </c>
      <c r="J447" s="22">
        <f>F447*G447</f>
        <v>0</v>
      </c>
      <c r="K447" s="22">
        <v>0.00054</v>
      </c>
      <c r="L447" s="22">
        <f>F447*K447</f>
        <v>0.0007128000000000001</v>
      </c>
      <c r="M447" s="33" t="s">
        <v>1040</v>
      </c>
      <c r="P447" s="36">
        <f>IF(AG447="5",J447,0)</f>
        <v>0</v>
      </c>
      <c r="R447" s="36">
        <f>IF(AG447="1",H447,0)</f>
        <v>0</v>
      </c>
      <c r="S447" s="36">
        <f>IF(AG447="1",I447,0)</f>
        <v>0</v>
      </c>
      <c r="T447" s="36">
        <f>IF(AG447="7",H447,0)</f>
        <v>0</v>
      </c>
      <c r="U447" s="36">
        <f>IF(AG447="7",I447,0)</f>
        <v>0</v>
      </c>
      <c r="V447" s="36">
        <f>IF(AG447="2",H447,0)</f>
        <v>0</v>
      </c>
      <c r="W447" s="36">
        <f>IF(AG447="2",I447,0)</f>
        <v>0</v>
      </c>
      <c r="X447" s="36">
        <f>IF(AG447="0",J447,0)</f>
        <v>0</v>
      </c>
      <c r="Y447" s="29"/>
      <c r="Z447" s="22">
        <f>IF(AD447=0,J447,0)</f>
        <v>0</v>
      </c>
      <c r="AA447" s="22">
        <f>IF(AD447=15,J447,0)</f>
        <v>0</v>
      </c>
      <c r="AB447" s="22">
        <f>IF(AD447=21,J447,0)</f>
        <v>0</v>
      </c>
      <c r="AD447" s="36">
        <v>21</v>
      </c>
      <c r="AE447" s="36">
        <f>G447*1</f>
        <v>0</v>
      </c>
      <c r="AF447" s="36">
        <f>G447*(1-1)</f>
        <v>0</v>
      </c>
      <c r="AG447" s="33" t="s">
        <v>13</v>
      </c>
      <c r="AM447" s="36">
        <f>F447*AE447</f>
        <v>0</v>
      </c>
      <c r="AN447" s="36">
        <f>F447*AF447</f>
        <v>0</v>
      </c>
      <c r="AO447" s="37" t="s">
        <v>1081</v>
      </c>
      <c r="AP447" s="37" t="s">
        <v>1098</v>
      </c>
      <c r="AQ447" s="29" t="s">
        <v>1101</v>
      </c>
      <c r="AS447" s="36">
        <f>AM447+AN447</f>
        <v>0</v>
      </c>
      <c r="AT447" s="36">
        <f>G447/(100-AU447)*100</f>
        <v>0</v>
      </c>
      <c r="AU447" s="36">
        <v>0</v>
      </c>
      <c r="AV447" s="36">
        <f>L447</f>
        <v>0.0007128000000000001</v>
      </c>
    </row>
    <row r="448" spans="4:6" ht="12.75">
      <c r="D448" s="17" t="s">
        <v>935</v>
      </c>
      <c r="F448" s="21">
        <v>1.2</v>
      </c>
    </row>
    <row r="449" spans="4:6" ht="12.75">
      <c r="D449" s="17" t="s">
        <v>936</v>
      </c>
      <c r="F449" s="21">
        <v>0.12</v>
      </c>
    </row>
    <row r="450" spans="1:48" ht="12.75">
      <c r="A450" s="4" t="s">
        <v>223</v>
      </c>
      <c r="B450" s="4"/>
      <c r="C450" s="4" t="s">
        <v>481</v>
      </c>
      <c r="D450" s="4" t="s">
        <v>937</v>
      </c>
      <c r="E450" s="4" t="s">
        <v>1018</v>
      </c>
      <c r="F450" s="20">
        <v>4</v>
      </c>
      <c r="G450" s="20">
        <v>0</v>
      </c>
      <c r="H450" s="20">
        <f>F450*AE450</f>
        <v>0</v>
      </c>
      <c r="I450" s="20">
        <f>J450-H450</f>
        <v>0</v>
      </c>
      <c r="J450" s="20">
        <f>F450*G450</f>
        <v>0</v>
      </c>
      <c r="K450" s="20">
        <v>0.095</v>
      </c>
      <c r="L450" s="20">
        <f>F450*K450</f>
        <v>0.38</v>
      </c>
      <c r="M450" s="32"/>
      <c r="P450" s="36">
        <f>IF(AG450="5",J450,0)</f>
        <v>0</v>
      </c>
      <c r="R450" s="36">
        <f>IF(AG450="1",H450,0)</f>
        <v>0</v>
      </c>
      <c r="S450" s="36">
        <f>IF(AG450="1",I450,0)</f>
        <v>0</v>
      </c>
      <c r="T450" s="36">
        <f>IF(AG450="7",H450,0)</f>
        <v>0</v>
      </c>
      <c r="U450" s="36">
        <f>IF(AG450="7",I450,0)</f>
        <v>0</v>
      </c>
      <c r="V450" s="36">
        <f>IF(AG450="2",H450,0)</f>
        <v>0</v>
      </c>
      <c r="W450" s="36">
        <f>IF(AG450="2",I450,0)</f>
        <v>0</v>
      </c>
      <c r="X450" s="36">
        <f>IF(AG450="0",J450,0)</f>
        <v>0</v>
      </c>
      <c r="Y450" s="29"/>
      <c r="Z450" s="20">
        <f>IF(AD450=0,J450,0)</f>
        <v>0</v>
      </c>
      <c r="AA450" s="20">
        <f>IF(AD450=15,J450,0)</f>
        <v>0</v>
      </c>
      <c r="AB450" s="20">
        <f>IF(AD450=21,J450,0)</f>
        <v>0</v>
      </c>
      <c r="AD450" s="36">
        <v>21</v>
      </c>
      <c r="AE450" s="36">
        <f>G450*1</f>
        <v>0</v>
      </c>
      <c r="AF450" s="36">
        <f>G450*(1-1)</f>
        <v>0</v>
      </c>
      <c r="AG450" s="32" t="s">
        <v>13</v>
      </c>
      <c r="AM450" s="36">
        <f>F450*AE450</f>
        <v>0</v>
      </c>
      <c r="AN450" s="36">
        <f>F450*AF450</f>
        <v>0</v>
      </c>
      <c r="AO450" s="37" t="s">
        <v>1081</v>
      </c>
      <c r="AP450" s="37" t="s">
        <v>1098</v>
      </c>
      <c r="AQ450" s="29" t="s">
        <v>1101</v>
      </c>
      <c r="AS450" s="36">
        <f>AM450+AN450</f>
        <v>0</v>
      </c>
      <c r="AT450" s="36">
        <f>G450/(100-AU450)*100</f>
        <v>0</v>
      </c>
      <c r="AU450" s="36">
        <v>0</v>
      </c>
      <c r="AV450" s="36">
        <f>L450</f>
        <v>0.38</v>
      </c>
    </row>
    <row r="451" spans="3:13" ht="12.75">
      <c r="C451" s="14" t="s">
        <v>255</v>
      </c>
      <c r="D451" s="91" t="s">
        <v>938</v>
      </c>
      <c r="E451" s="92"/>
      <c r="F451" s="92"/>
      <c r="G451" s="92"/>
      <c r="H451" s="92"/>
      <c r="I451" s="92"/>
      <c r="J451" s="92"/>
      <c r="K451" s="92"/>
      <c r="L451" s="92"/>
      <c r="M451" s="92"/>
    </row>
    <row r="452" spans="1:48" ht="12.75">
      <c r="A452" s="4" t="s">
        <v>224</v>
      </c>
      <c r="B452" s="4"/>
      <c r="C452" s="4" t="s">
        <v>482</v>
      </c>
      <c r="D452" s="4" t="s">
        <v>939</v>
      </c>
      <c r="E452" s="4" t="s">
        <v>1018</v>
      </c>
      <c r="F452" s="20">
        <v>1</v>
      </c>
      <c r="G452" s="20">
        <v>0</v>
      </c>
      <c r="H452" s="20">
        <f>F452*AE452</f>
        <v>0</v>
      </c>
      <c r="I452" s="20">
        <f>J452-H452</f>
        <v>0</v>
      </c>
      <c r="J452" s="20">
        <f>F452*G452</f>
        <v>0</v>
      </c>
      <c r="K452" s="20">
        <v>0.065</v>
      </c>
      <c r="L452" s="20">
        <f>F452*K452</f>
        <v>0.065</v>
      </c>
      <c r="M452" s="32"/>
      <c r="P452" s="36">
        <f>IF(AG452="5",J452,0)</f>
        <v>0</v>
      </c>
      <c r="R452" s="36">
        <f>IF(AG452="1",H452,0)</f>
        <v>0</v>
      </c>
      <c r="S452" s="36">
        <f>IF(AG452="1",I452,0)</f>
        <v>0</v>
      </c>
      <c r="T452" s="36">
        <f>IF(AG452="7",H452,0)</f>
        <v>0</v>
      </c>
      <c r="U452" s="36">
        <f>IF(AG452="7",I452,0)</f>
        <v>0</v>
      </c>
      <c r="V452" s="36">
        <f>IF(AG452="2",H452,0)</f>
        <v>0</v>
      </c>
      <c r="W452" s="36">
        <f>IF(AG452="2",I452,0)</f>
        <v>0</v>
      </c>
      <c r="X452" s="36">
        <f>IF(AG452="0",J452,0)</f>
        <v>0</v>
      </c>
      <c r="Y452" s="29"/>
      <c r="Z452" s="20">
        <f>IF(AD452=0,J452,0)</f>
        <v>0</v>
      </c>
      <c r="AA452" s="20">
        <f>IF(AD452=15,J452,0)</f>
        <v>0</v>
      </c>
      <c r="AB452" s="20">
        <f>IF(AD452=21,J452,0)</f>
        <v>0</v>
      </c>
      <c r="AD452" s="36">
        <v>21</v>
      </c>
      <c r="AE452" s="36">
        <f>G452*1</f>
        <v>0</v>
      </c>
      <c r="AF452" s="36">
        <f>G452*(1-1)</f>
        <v>0</v>
      </c>
      <c r="AG452" s="32" t="s">
        <v>13</v>
      </c>
      <c r="AM452" s="36">
        <f>F452*AE452</f>
        <v>0</v>
      </c>
      <c r="AN452" s="36">
        <f>F452*AF452</f>
        <v>0</v>
      </c>
      <c r="AO452" s="37" t="s">
        <v>1081</v>
      </c>
      <c r="AP452" s="37" t="s">
        <v>1098</v>
      </c>
      <c r="AQ452" s="29" t="s">
        <v>1101</v>
      </c>
      <c r="AS452" s="36">
        <f>AM452+AN452</f>
        <v>0</v>
      </c>
      <c r="AT452" s="36">
        <f>G452/(100-AU452)*100</f>
        <v>0</v>
      </c>
      <c r="AU452" s="36">
        <v>0</v>
      </c>
      <c r="AV452" s="36">
        <f>L452</f>
        <v>0.065</v>
      </c>
    </row>
    <row r="453" spans="3:13" ht="12.75">
      <c r="C453" s="14" t="s">
        <v>255</v>
      </c>
      <c r="D453" s="91" t="s">
        <v>940</v>
      </c>
      <c r="E453" s="92"/>
      <c r="F453" s="92"/>
      <c r="G453" s="92"/>
      <c r="H453" s="92"/>
      <c r="I453" s="92"/>
      <c r="J453" s="92"/>
      <c r="K453" s="92"/>
      <c r="L453" s="92"/>
      <c r="M453" s="92"/>
    </row>
    <row r="454" spans="1:48" ht="12.75">
      <c r="A454" s="4" t="s">
        <v>225</v>
      </c>
      <c r="B454" s="4"/>
      <c r="C454" s="4" t="s">
        <v>483</v>
      </c>
      <c r="D454" s="4" t="s">
        <v>941</v>
      </c>
      <c r="E454" s="4" t="s">
        <v>1018</v>
      </c>
      <c r="F454" s="20">
        <v>8</v>
      </c>
      <c r="G454" s="20">
        <v>0</v>
      </c>
      <c r="H454" s="20">
        <f>F454*AE454</f>
        <v>0</v>
      </c>
      <c r="I454" s="20">
        <f>J454-H454</f>
        <v>0</v>
      </c>
      <c r="J454" s="20">
        <f>F454*G454</f>
        <v>0</v>
      </c>
      <c r="K454" s="20">
        <v>0</v>
      </c>
      <c r="L454" s="20">
        <f>F454*K454</f>
        <v>0</v>
      </c>
      <c r="M454" s="32" t="s">
        <v>1040</v>
      </c>
      <c r="P454" s="36">
        <f>IF(AG454="5",J454,0)</f>
        <v>0</v>
      </c>
      <c r="R454" s="36">
        <f>IF(AG454="1",H454,0)</f>
        <v>0</v>
      </c>
      <c r="S454" s="36">
        <f>IF(AG454="1",I454,0)</f>
        <v>0</v>
      </c>
      <c r="T454" s="36">
        <f>IF(AG454="7",H454,0)</f>
        <v>0</v>
      </c>
      <c r="U454" s="36">
        <f>IF(AG454="7",I454,0)</f>
        <v>0</v>
      </c>
      <c r="V454" s="36">
        <f>IF(AG454="2",H454,0)</f>
        <v>0</v>
      </c>
      <c r="W454" s="36">
        <f>IF(AG454="2",I454,0)</f>
        <v>0</v>
      </c>
      <c r="X454" s="36">
        <f>IF(AG454="0",J454,0)</f>
        <v>0</v>
      </c>
      <c r="Y454" s="29"/>
      <c r="Z454" s="20">
        <f>IF(AD454=0,J454,0)</f>
        <v>0</v>
      </c>
      <c r="AA454" s="20">
        <f>IF(AD454=15,J454,0)</f>
        <v>0</v>
      </c>
      <c r="AB454" s="20">
        <f>IF(AD454=21,J454,0)</f>
        <v>0</v>
      </c>
      <c r="AD454" s="36">
        <v>21</v>
      </c>
      <c r="AE454" s="36">
        <f>G454*0</f>
        <v>0</v>
      </c>
      <c r="AF454" s="36">
        <f>G454*(1-0)</f>
        <v>0</v>
      </c>
      <c r="AG454" s="32" t="s">
        <v>13</v>
      </c>
      <c r="AM454" s="36">
        <f>F454*AE454</f>
        <v>0</v>
      </c>
      <c r="AN454" s="36">
        <f>F454*AF454</f>
        <v>0</v>
      </c>
      <c r="AO454" s="37" t="s">
        <v>1081</v>
      </c>
      <c r="AP454" s="37" t="s">
        <v>1098</v>
      </c>
      <c r="AQ454" s="29" t="s">
        <v>1101</v>
      </c>
      <c r="AS454" s="36">
        <f>AM454+AN454</f>
        <v>0</v>
      </c>
      <c r="AT454" s="36">
        <f>G454/(100-AU454)*100</f>
        <v>0</v>
      </c>
      <c r="AU454" s="36">
        <v>0</v>
      </c>
      <c r="AV454" s="36">
        <f>L454</f>
        <v>0</v>
      </c>
    </row>
    <row r="455" spans="1:48" ht="12.75">
      <c r="A455" s="6" t="s">
        <v>226</v>
      </c>
      <c r="B455" s="6"/>
      <c r="C455" s="6" t="s">
        <v>484</v>
      </c>
      <c r="D455" s="6" t="s">
        <v>942</v>
      </c>
      <c r="E455" s="6" t="s">
        <v>1018</v>
      </c>
      <c r="F455" s="22">
        <v>8</v>
      </c>
      <c r="G455" s="22">
        <v>0</v>
      </c>
      <c r="H455" s="22">
        <f>F455*AE455</f>
        <v>0</v>
      </c>
      <c r="I455" s="22">
        <f>J455-H455</f>
        <v>0</v>
      </c>
      <c r="J455" s="22">
        <f>F455*G455</f>
        <v>0</v>
      </c>
      <c r="K455" s="22">
        <v>0.29</v>
      </c>
      <c r="L455" s="22">
        <f>F455*K455</f>
        <v>2.32</v>
      </c>
      <c r="M455" s="33"/>
      <c r="P455" s="36">
        <f>IF(AG455="5",J455,0)</f>
        <v>0</v>
      </c>
      <c r="R455" s="36">
        <f>IF(AG455="1",H455,0)</f>
        <v>0</v>
      </c>
      <c r="S455" s="36">
        <f>IF(AG455="1",I455,0)</f>
        <v>0</v>
      </c>
      <c r="T455" s="36">
        <f>IF(AG455="7",H455,0)</f>
        <v>0</v>
      </c>
      <c r="U455" s="36">
        <f>IF(AG455="7",I455,0)</f>
        <v>0</v>
      </c>
      <c r="V455" s="36">
        <f>IF(AG455="2",H455,0)</f>
        <v>0</v>
      </c>
      <c r="W455" s="36">
        <f>IF(AG455="2",I455,0)</f>
        <v>0</v>
      </c>
      <c r="X455" s="36">
        <f>IF(AG455="0",J455,0)</f>
        <v>0</v>
      </c>
      <c r="Y455" s="29"/>
      <c r="Z455" s="22">
        <f>IF(AD455=0,J455,0)</f>
        <v>0</v>
      </c>
      <c r="AA455" s="22">
        <f>IF(AD455=15,J455,0)</f>
        <v>0</v>
      </c>
      <c r="AB455" s="22">
        <f>IF(AD455=21,J455,0)</f>
        <v>0</v>
      </c>
      <c r="AD455" s="36">
        <v>21</v>
      </c>
      <c r="AE455" s="36">
        <f>G455*1</f>
        <v>0</v>
      </c>
      <c r="AF455" s="36">
        <f>G455*(1-1)</f>
        <v>0</v>
      </c>
      <c r="AG455" s="33" t="s">
        <v>13</v>
      </c>
      <c r="AM455" s="36">
        <f>F455*AE455</f>
        <v>0</v>
      </c>
      <c r="AN455" s="36">
        <f>F455*AF455</f>
        <v>0</v>
      </c>
      <c r="AO455" s="37" t="s">
        <v>1081</v>
      </c>
      <c r="AP455" s="37" t="s">
        <v>1098</v>
      </c>
      <c r="AQ455" s="29" t="s">
        <v>1101</v>
      </c>
      <c r="AS455" s="36">
        <f>AM455+AN455</f>
        <v>0</v>
      </c>
      <c r="AT455" s="36">
        <f>G455/(100-AU455)*100</f>
        <v>0</v>
      </c>
      <c r="AU455" s="36">
        <v>0</v>
      </c>
      <c r="AV455" s="36">
        <f>L455</f>
        <v>2.32</v>
      </c>
    </row>
    <row r="456" spans="1:48" ht="12.75">
      <c r="A456" s="4" t="s">
        <v>227</v>
      </c>
      <c r="B456" s="4"/>
      <c r="C456" s="4" t="s">
        <v>485</v>
      </c>
      <c r="D456" s="4" t="s">
        <v>943</v>
      </c>
      <c r="E456" s="4" t="s">
        <v>1015</v>
      </c>
      <c r="F456" s="20">
        <v>3.7455</v>
      </c>
      <c r="G456" s="20">
        <v>0</v>
      </c>
      <c r="H456" s="20">
        <f>F456*AE456</f>
        <v>0</v>
      </c>
      <c r="I456" s="20">
        <f>J456-H456</f>
        <v>0</v>
      </c>
      <c r="J456" s="20">
        <f>F456*G456</f>
        <v>0</v>
      </c>
      <c r="K456" s="20">
        <v>0</v>
      </c>
      <c r="L456" s="20">
        <f>F456*K456</f>
        <v>0</v>
      </c>
      <c r="M456" s="32" t="s">
        <v>1040</v>
      </c>
      <c r="P456" s="36">
        <f>IF(AG456="5",J456,0)</f>
        <v>0</v>
      </c>
      <c r="R456" s="36">
        <f>IF(AG456="1",H456,0)</f>
        <v>0</v>
      </c>
      <c r="S456" s="36">
        <f>IF(AG456="1",I456,0)</f>
        <v>0</v>
      </c>
      <c r="T456" s="36">
        <f>IF(AG456="7",H456,0)</f>
        <v>0</v>
      </c>
      <c r="U456" s="36">
        <f>IF(AG456="7",I456,0)</f>
        <v>0</v>
      </c>
      <c r="V456" s="36">
        <f>IF(AG456="2",H456,0)</f>
        <v>0</v>
      </c>
      <c r="W456" s="36">
        <f>IF(AG456="2",I456,0)</f>
        <v>0</v>
      </c>
      <c r="X456" s="36">
        <f>IF(AG456="0",J456,0)</f>
        <v>0</v>
      </c>
      <c r="Y456" s="29"/>
      <c r="Z456" s="20">
        <f>IF(AD456=0,J456,0)</f>
        <v>0</v>
      </c>
      <c r="AA456" s="20">
        <f>IF(AD456=15,J456,0)</f>
        <v>0</v>
      </c>
      <c r="AB456" s="20">
        <f>IF(AD456=21,J456,0)</f>
        <v>0</v>
      </c>
      <c r="AD456" s="36">
        <v>21</v>
      </c>
      <c r="AE456" s="36">
        <f>G456*0</f>
        <v>0</v>
      </c>
      <c r="AF456" s="36">
        <f>G456*(1-0)</f>
        <v>0</v>
      </c>
      <c r="AG456" s="32" t="s">
        <v>11</v>
      </c>
      <c r="AM456" s="36">
        <f>F456*AE456</f>
        <v>0</v>
      </c>
      <c r="AN456" s="36">
        <f>F456*AF456</f>
        <v>0</v>
      </c>
      <c r="AO456" s="37" t="s">
        <v>1081</v>
      </c>
      <c r="AP456" s="37" t="s">
        <v>1098</v>
      </c>
      <c r="AQ456" s="29" t="s">
        <v>1101</v>
      </c>
      <c r="AS456" s="36">
        <f>AM456+AN456</f>
        <v>0</v>
      </c>
      <c r="AT456" s="36">
        <f>G456/(100-AU456)*100</f>
        <v>0</v>
      </c>
      <c r="AU456" s="36">
        <v>0</v>
      </c>
      <c r="AV456" s="36">
        <f>L456</f>
        <v>0</v>
      </c>
    </row>
    <row r="457" spans="1:37" ht="12.75">
      <c r="A457" s="5"/>
      <c r="B457" s="13"/>
      <c r="C457" s="13" t="s">
        <v>486</v>
      </c>
      <c r="D457" s="93" t="s">
        <v>944</v>
      </c>
      <c r="E457" s="94"/>
      <c r="F457" s="94"/>
      <c r="G457" s="94"/>
      <c r="H457" s="39">
        <f>SUM(H458:H477)</f>
        <v>0</v>
      </c>
      <c r="I457" s="39">
        <f>SUM(I458:I477)</f>
        <v>0</v>
      </c>
      <c r="J457" s="39">
        <f>H457+I457</f>
        <v>0</v>
      </c>
      <c r="K457" s="29"/>
      <c r="L457" s="39">
        <f>SUM(L458:L477)</f>
        <v>3.3126715209999995</v>
      </c>
      <c r="M457" s="29"/>
      <c r="Y457" s="29"/>
      <c r="AI457" s="39">
        <f>SUM(Z458:Z477)</f>
        <v>0</v>
      </c>
      <c r="AJ457" s="39">
        <f>SUM(AA458:AA477)</f>
        <v>0</v>
      </c>
      <c r="AK457" s="39">
        <f>SUM(AB458:AB477)</f>
        <v>0</v>
      </c>
    </row>
    <row r="458" spans="1:48" ht="12.75">
      <c r="A458" s="4" t="s">
        <v>228</v>
      </c>
      <c r="B458" s="4"/>
      <c r="C458" s="4" t="s">
        <v>487</v>
      </c>
      <c r="D458" s="4" t="s">
        <v>945</v>
      </c>
      <c r="E458" s="4" t="s">
        <v>1016</v>
      </c>
      <c r="F458" s="20">
        <v>124.5525</v>
      </c>
      <c r="G458" s="20">
        <v>0</v>
      </c>
      <c r="H458" s="20">
        <f>F458*AE458</f>
        <v>0</v>
      </c>
      <c r="I458" s="20">
        <f>J458-H458</f>
        <v>0</v>
      </c>
      <c r="J458" s="20">
        <f>F458*G458</f>
        <v>0</v>
      </c>
      <c r="K458" s="20">
        <v>0.00021</v>
      </c>
      <c r="L458" s="20">
        <f>F458*K458</f>
        <v>0.026156025</v>
      </c>
      <c r="M458" s="32" t="s">
        <v>1040</v>
      </c>
      <c r="P458" s="36">
        <f>IF(AG458="5",J458,0)</f>
        <v>0</v>
      </c>
      <c r="R458" s="36">
        <f>IF(AG458="1",H458,0)</f>
        <v>0</v>
      </c>
      <c r="S458" s="36">
        <f>IF(AG458="1",I458,0)</f>
        <v>0</v>
      </c>
      <c r="T458" s="36">
        <f>IF(AG458="7",H458,0)</f>
        <v>0</v>
      </c>
      <c r="U458" s="36">
        <f>IF(AG458="7",I458,0)</f>
        <v>0</v>
      </c>
      <c r="V458" s="36">
        <f>IF(AG458="2",H458,0)</f>
        <v>0</v>
      </c>
      <c r="W458" s="36">
        <f>IF(AG458="2",I458,0)</f>
        <v>0</v>
      </c>
      <c r="X458" s="36">
        <f>IF(AG458="0",J458,0)</f>
        <v>0</v>
      </c>
      <c r="Y458" s="29"/>
      <c r="Z458" s="20">
        <f>IF(AD458=0,J458,0)</f>
        <v>0</v>
      </c>
      <c r="AA458" s="20">
        <f>IF(AD458=15,J458,0)</f>
        <v>0</v>
      </c>
      <c r="AB458" s="20">
        <f>IF(AD458=21,J458,0)</f>
        <v>0</v>
      </c>
      <c r="AD458" s="36">
        <v>21</v>
      </c>
      <c r="AE458" s="36">
        <f>G458*0.533419689119171</f>
        <v>0</v>
      </c>
      <c r="AF458" s="36">
        <f>G458*(1-0.533419689119171)</f>
        <v>0</v>
      </c>
      <c r="AG458" s="32" t="s">
        <v>13</v>
      </c>
      <c r="AM458" s="36">
        <f>F458*AE458</f>
        <v>0</v>
      </c>
      <c r="AN458" s="36">
        <f>F458*AF458</f>
        <v>0</v>
      </c>
      <c r="AO458" s="37" t="s">
        <v>1082</v>
      </c>
      <c r="AP458" s="37" t="s">
        <v>1099</v>
      </c>
      <c r="AQ458" s="29" t="s">
        <v>1101</v>
      </c>
      <c r="AS458" s="36">
        <f>AM458+AN458</f>
        <v>0</v>
      </c>
      <c r="AT458" s="36">
        <f>G458/(100-AU458)*100</f>
        <v>0</v>
      </c>
      <c r="AU458" s="36">
        <v>0</v>
      </c>
      <c r="AV458" s="36">
        <f>L458</f>
        <v>0.026156025</v>
      </c>
    </row>
    <row r="459" spans="3:13" ht="12.75">
      <c r="C459" s="14" t="s">
        <v>255</v>
      </c>
      <c r="D459" s="91" t="s">
        <v>946</v>
      </c>
      <c r="E459" s="92"/>
      <c r="F459" s="92"/>
      <c r="G459" s="92"/>
      <c r="H459" s="92"/>
      <c r="I459" s="92"/>
      <c r="J459" s="92"/>
      <c r="K459" s="92"/>
      <c r="L459" s="92"/>
      <c r="M459" s="92"/>
    </row>
    <row r="460" spans="1:48" ht="12.75">
      <c r="A460" s="4" t="s">
        <v>229</v>
      </c>
      <c r="B460" s="4"/>
      <c r="C460" s="4" t="s">
        <v>488</v>
      </c>
      <c r="D460" s="4" t="s">
        <v>947</v>
      </c>
      <c r="E460" s="4" t="s">
        <v>1019</v>
      </c>
      <c r="F460" s="20">
        <v>88.56</v>
      </c>
      <c r="G460" s="20">
        <v>0</v>
      </c>
      <c r="H460" s="20">
        <f>F460*AE460</f>
        <v>0</v>
      </c>
      <c r="I460" s="20">
        <f>J460-H460</f>
        <v>0</v>
      </c>
      <c r="J460" s="20">
        <f>F460*G460</f>
        <v>0</v>
      </c>
      <c r="K460" s="20">
        <v>0</v>
      </c>
      <c r="L460" s="20">
        <f>F460*K460</f>
        <v>0</v>
      </c>
      <c r="M460" s="32" t="s">
        <v>1040</v>
      </c>
      <c r="P460" s="36">
        <f>IF(AG460="5",J460,0)</f>
        <v>0</v>
      </c>
      <c r="R460" s="36">
        <f>IF(AG460="1",H460,0)</f>
        <v>0</v>
      </c>
      <c r="S460" s="36">
        <f>IF(AG460="1",I460,0)</f>
        <v>0</v>
      </c>
      <c r="T460" s="36">
        <f>IF(AG460="7",H460,0)</f>
        <v>0</v>
      </c>
      <c r="U460" s="36">
        <f>IF(AG460="7",I460,0)</f>
        <v>0</v>
      </c>
      <c r="V460" s="36">
        <f>IF(AG460="2",H460,0)</f>
        <v>0</v>
      </c>
      <c r="W460" s="36">
        <f>IF(AG460="2",I460,0)</f>
        <v>0</v>
      </c>
      <c r="X460" s="36">
        <f>IF(AG460="0",J460,0)</f>
        <v>0</v>
      </c>
      <c r="Y460" s="29"/>
      <c r="Z460" s="20">
        <f>IF(AD460=0,J460,0)</f>
        <v>0</v>
      </c>
      <c r="AA460" s="20">
        <f>IF(AD460=15,J460,0)</f>
        <v>0</v>
      </c>
      <c r="AB460" s="20">
        <f>IF(AD460=21,J460,0)</f>
        <v>0</v>
      </c>
      <c r="AD460" s="36">
        <v>21</v>
      </c>
      <c r="AE460" s="36">
        <f>G460*0</f>
        <v>0</v>
      </c>
      <c r="AF460" s="36">
        <f>G460*(1-0)</f>
        <v>0</v>
      </c>
      <c r="AG460" s="32" t="s">
        <v>13</v>
      </c>
      <c r="AM460" s="36">
        <f>F460*AE460</f>
        <v>0</v>
      </c>
      <c r="AN460" s="36">
        <f>F460*AF460</f>
        <v>0</v>
      </c>
      <c r="AO460" s="37" t="s">
        <v>1082</v>
      </c>
      <c r="AP460" s="37" t="s">
        <v>1099</v>
      </c>
      <c r="AQ460" s="29" t="s">
        <v>1101</v>
      </c>
      <c r="AS460" s="36">
        <f>AM460+AN460</f>
        <v>0</v>
      </c>
      <c r="AT460" s="36">
        <f>G460/(100-AU460)*100</f>
        <v>0</v>
      </c>
      <c r="AU460" s="36">
        <v>0</v>
      </c>
      <c r="AV460" s="36">
        <f>L460</f>
        <v>0</v>
      </c>
    </row>
    <row r="461" spans="4:6" ht="12.75">
      <c r="D461" s="17" t="s">
        <v>948</v>
      </c>
      <c r="F461" s="21">
        <v>88.56</v>
      </c>
    </row>
    <row r="462" spans="1:48" ht="12.75">
      <c r="A462" s="4" t="s">
        <v>230</v>
      </c>
      <c r="B462" s="4"/>
      <c r="C462" s="4" t="s">
        <v>489</v>
      </c>
      <c r="D462" s="4" t="s">
        <v>949</v>
      </c>
      <c r="E462" s="4" t="s">
        <v>1016</v>
      </c>
      <c r="F462" s="20">
        <v>124.5525</v>
      </c>
      <c r="G462" s="20">
        <v>0</v>
      </c>
      <c r="H462" s="20">
        <f>F462*AE462</f>
        <v>0</v>
      </c>
      <c r="I462" s="20">
        <f>J462-H462</f>
        <v>0</v>
      </c>
      <c r="J462" s="20">
        <f>F462*G462</f>
        <v>0</v>
      </c>
      <c r="K462" s="20">
        <v>0.00504</v>
      </c>
      <c r="L462" s="20">
        <f>F462*K462</f>
        <v>0.6277446</v>
      </c>
      <c r="M462" s="32" t="s">
        <v>1040</v>
      </c>
      <c r="P462" s="36">
        <f>IF(AG462="5",J462,0)</f>
        <v>0</v>
      </c>
      <c r="R462" s="36">
        <f>IF(AG462="1",H462,0)</f>
        <v>0</v>
      </c>
      <c r="S462" s="36">
        <f>IF(AG462="1",I462,0)</f>
        <v>0</v>
      </c>
      <c r="T462" s="36">
        <f>IF(AG462="7",H462,0)</f>
        <v>0</v>
      </c>
      <c r="U462" s="36">
        <f>IF(AG462="7",I462,0)</f>
        <v>0</v>
      </c>
      <c r="V462" s="36">
        <f>IF(AG462="2",H462,0)</f>
        <v>0</v>
      </c>
      <c r="W462" s="36">
        <f>IF(AG462="2",I462,0)</f>
        <v>0</v>
      </c>
      <c r="X462" s="36">
        <f>IF(AG462="0",J462,0)</f>
        <v>0</v>
      </c>
      <c r="Y462" s="29"/>
      <c r="Z462" s="20">
        <f>IF(AD462=0,J462,0)</f>
        <v>0</v>
      </c>
      <c r="AA462" s="20">
        <f>IF(AD462=15,J462,0)</f>
        <v>0</v>
      </c>
      <c r="AB462" s="20">
        <f>IF(AD462=21,J462,0)</f>
        <v>0</v>
      </c>
      <c r="AD462" s="36">
        <v>21</v>
      </c>
      <c r="AE462" s="36">
        <f>G462*0.1941647597254</f>
        <v>0</v>
      </c>
      <c r="AF462" s="36">
        <f>G462*(1-0.1941647597254)</f>
        <v>0</v>
      </c>
      <c r="AG462" s="32" t="s">
        <v>13</v>
      </c>
      <c r="AM462" s="36">
        <f>F462*AE462</f>
        <v>0</v>
      </c>
      <c r="AN462" s="36">
        <f>F462*AF462</f>
        <v>0</v>
      </c>
      <c r="AO462" s="37" t="s">
        <v>1082</v>
      </c>
      <c r="AP462" s="37" t="s">
        <v>1099</v>
      </c>
      <c r="AQ462" s="29" t="s">
        <v>1101</v>
      </c>
      <c r="AS462" s="36">
        <f>AM462+AN462</f>
        <v>0</v>
      </c>
      <c r="AT462" s="36">
        <f>G462/(100-AU462)*100</f>
        <v>0</v>
      </c>
      <c r="AU462" s="36">
        <v>0</v>
      </c>
      <c r="AV462" s="36">
        <f>L462</f>
        <v>0.6277446</v>
      </c>
    </row>
    <row r="463" spans="1:48" ht="12.75">
      <c r="A463" s="4" t="s">
        <v>231</v>
      </c>
      <c r="B463" s="4"/>
      <c r="C463" s="4" t="s">
        <v>490</v>
      </c>
      <c r="D463" s="4" t="s">
        <v>950</v>
      </c>
      <c r="E463" s="4" t="s">
        <v>1019</v>
      </c>
      <c r="F463" s="20">
        <v>205.64</v>
      </c>
      <c r="G463" s="20">
        <v>0</v>
      </c>
      <c r="H463" s="20">
        <f>F463*AE463</f>
        <v>0</v>
      </c>
      <c r="I463" s="20">
        <f>J463-H463</f>
        <v>0</v>
      </c>
      <c r="J463" s="20">
        <f>F463*G463</f>
        <v>0</v>
      </c>
      <c r="K463" s="20">
        <v>4E-05</v>
      </c>
      <c r="L463" s="20">
        <f>F463*K463</f>
        <v>0.0082256</v>
      </c>
      <c r="M463" s="32" t="s">
        <v>1040</v>
      </c>
      <c r="P463" s="36">
        <f>IF(AG463="5",J463,0)</f>
        <v>0</v>
      </c>
      <c r="R463" s="36">
        <f>IF(AG463="1",H463,0)</f>
        <v>0</v>
      </c>
      <c r="S463" s="36">
        <f>IF(AG463="1",I463,0)</f>
        <v>0</v>
      </c>
      <c r="T463" s="36">
        <f>IF(AG463="7",H463,0)</f>
        <v>0</v>
      </c>
      <c r="U463" s="36">
        <f>IF(AG463="7",I463,0)</f>
        <v>0</v>
      </c>
      <c r="V463" s="36">
        <f>IF(AG463="2",H463,0)</f>
        <v>0</v>
      </c>
      <c r="W463" s="36">
        <f>IF(AG463="2",I463,0)</f>
        <v>0</v>
      </c>
      <c r="X463" s="36">
        <f>IF(AG463="0",J463,0)</f>
        <v>0</v>
      </c>
      <c r="Y463" s="29"/>
      <c r="Z463" s="20">
        <f>IF(AD463=0,J463,0)</f>
        <v>0</v>
      </c>
      <c r="AA463" s="20">
        <f>IF(AD463=15,J463,0)</f>
        <v>0</v>
      </c>
      <c r="AB463" s="20">
        <f>IF(AD463=21,J463,0)</f>
        <v>0</v>
      </c>
      <c r="AD463" s="36">
        <v>21</v>
      </c>
      <c r="AE463" s="36">
        <f>G463*0.341514360313316</f>
        <v>0</v>
      </c>
      <c r="AF463" s="36">
        <f>G463*(1-0.341514360313316)</f>
        <v>0</v>
      </c>
      <c r="AG463" s="32" t="s">
        <v>13</v>
      </c>
      <c r="AM463" s="36">
        <f>F463*AE463</f>
        <v>0</v>
      </c>
      <c r="AN463" s="36">
        <f>F463*AF463</f>
        <v>0</v>
      </c>
      <c r="AO463" s="37" t="s">
        <v>1082</v>
      </c>
      <c r="AP463" s="37" t="s">
        <v>1099</v>
      </c>
      <c r="AQ463" s="29" t="s">
        <v>1101</v>
      </c>
      <c r="AS463" s="36">
        <f>AM463+AN463</f>
        <v>0</v>
      </c>
      <c r="AT463" s="36">
        <f>G463/(100-AU463)*100</f>
        <v>0</v>
      </c>
      <c r="AU463" s="36">
        <v>0</v>
      </c>
      <c r="AV463" s="36">
        <f>L463</f>
        <v>0.0082256</v>
      </c>
    </row>
    <row r="464" spans="4:6" ht="12.75">
      <c r="D464" s="17" t="s">
        <v>951</v>
      </c>
      <c r="F464" s="21">
        <v>100.04</v>
      </c>
    </row>
    <row r="465" spans="4:6" ht="12.75">
      <c r="D465" s="17" t="s">
        <v>952</v>
      </c>
      <c r="F465" s="21">
        <v>105.6</v>
      </c>
    </row>
    <row r="466" spans="1:48" ht="12.75">
      <c r="A466" s="4" t="s">
        <v>232</v>
      </c>
      <c r="B466" s="4"/>
      <c r="C466" s="4" t="s">
        <v>491</v>
      </c>
      <c r="D466" s="4" t="s">
        <v>953</v>
      </c>
      <c r="E466" s="4" t="s">
        <v>1016</v>
      </c>
      <c r="F466" s="20">
        <v>27.74</v>
      </c>
      <c r="G466" s="20">
        <v>0</v>
      </c>
      <c r="H466" s="20">
        <f>F466*AE466</f>
        <v>0</v>
      </c>
      <c r="I466" s="20">
        <f>J466-H466</f>
        <v>0</v>
      </c>
      <c r="J466" s="20">
        <f>F466*G466</f>
        <v>0</v>
      </c>
      <c r="K466" s="20">
        <v>0</v>
      </c>
      <c r="L466" s="20">
        <f>F466*K466</f>
        <v>0</v>
      </c>
      <c r="M466" s="32" t="s">
        <v>1040</v>
      </c>
      <c r="P466" s="36">
        <f>IF(AG466="5",J466,0)</f>
        <v>0</v>
      </c>
      <c r="R466" s="36">
        <f>IF(AG466="1",H466,0)</f>
        <v>0</v>
      </c>
      <c r="S466" s="36">
        <f>IF(AG466="1",I466,0)</f>
        <v>0</v>
      </c>
      <c r="T466" s="36">
        <f>IF(AG466="7",H466,0)</f>
        <v>0</v>
      </c>
      <c r="U466" s="36">
        <f>IF(AG466="7",I466,0)</f>
        <v>0</v>
      </c>
      <c r="V466" s="36">
        <f>IF(AG466="2",H466,0)</f>
        <v>0</v>
      </c>
      <c r="W466" s="36">
        <f>IF(AG466="2",I466,0)</f>
        <v>0</v>
      </c>
      <c r="X466" s="36">
        <f>IF(AG466="0",J466,0)</f>
        <v>0</v>
      </c>
      <c r="Y466" s="29"/>
      <c r="Z466" s="20">
        <f>IF(AD466=0,J466,0)</f>
        <v>0</v>
      </c>
      <c r="AA466" s="20">
        <f>IF(AD466=15,J466,0)</f>
        <v>0</v>
      </c>
      <c r="AB466" s="20">
        <f>IF(AD466=21,J466,0)</f>
        <v>0</v>
      </c>
      <c r="AD466" s="36">
        <v>21</v>
      </c>
      <c r="AE466" s="36">
        <f>G466*0</f>
        <v>0</v>
      </c>
      <c r="AF466" s="36">
        <f>G466*(1-0)</f>
        <v>0</v>
      </c>
      <c r="AG466" s="32" t="s">
        <v>13</v>
      </c>
      <c r="AM466" s="36">
        <f>F466*AE466</f>
        <v>0</v>
      </c>
      <c r="AN466" s="36">
        <f>F466*AF466</f>
        <v>0</v>
      </c>
      <c r="AO466" s="37" t="s">
        <v>1082</v>
      </c>
      <c r="AP466" s="37" t="s">
        <v>1099</v>
      </c>
      <c r="AQ466" s="29" t="s">
        <v>1101</v>
      </c>
      <c r="AS466" s="36">
        <f>AM466+AN466</f>
        <v>0</v>
      </c>
      <c r="AT466" s="36">
        <f>G466/(100-AU466)*100</f>
        <v>0</v>
      </c>
      <c r="AU466" s="36">
        <v>0</v>
      </c>
      <c r="AV466" s="36">
        <f>L466</f>
        <v>0</v>
      </c>
    </row>
    <row r="467" spans="4:6" ht="12.75">
      <c r="D467" s="17" t="s">
        <v>954</v>
      </c>
      <c r="F467" s="21">
        <v>27.74</v>
      </c>
    </row>
    <row r="468" spans="1:48" ht="12.75">
      <c r="A468" s="6" t="s">
        <v>233</v>
      </c>
      <c r="B468" s="6"/>
      <c r="C468" s="6" t="s">
        <v>492</v>
      </c>
      <c r="D468" s="6" t="s">
        <v>955</v>
      </c>
      <c r="E468" s="6" t="s">
        <v>1016</v>
      </c>
      <c r="F468" s="22">
        <v>130.78013</v>
      </c>
      <c r="G468" s="22">
        <v>0</v>
      </c>
      <c r="H468" s="22">
        <f>F468*AE468</f>
        <v>0</v>
      </c>
      <c r="I468" s="22">
        <f>J468-H468</f>
        <v>0</v>
      </c>
      <c r="J468" s="22">
        <f>F468*G468</f>
        <v>0</v>
      </c>
      <c r="K468" s="22">
        <v>0.0192</v>
      </c>
      <c r="L468" s="22">
        <f>F468*K468</f>
        <v>2.510978496</v>
      </c>
      <c r="M468" s="33" t="s">
        <v>1040</v>
      </c>
      <c r="P468" s="36">
        <f>IF(AG468="5",J468,0)</f>
        <v>0</v>
      </c>
      <c r="R468" s="36">
        <f>IF(AG468="1",H468,0)</f>
        <v>0</v>
      </c>
      <c r="S468" s="36">
        <f>IF(AG468="1",I468,0)</f>
        <v>0</v>
      </c>
      <c r="T468" s="36">
        <f>IF(AG468="7",H468,0)</f>
        <v>0</v>
      </c>
      <c r="U468" s="36">
        <f>IF(AG468="7",I468,0)</f>
        <v>0</v>
      </c>
      <c r="V468" s="36">
        <f>IF(AG468="2",H468,0)</f>
        <v>0</v>
      </c>
      <c r="W468" s="36">
        <f>IF(AG468="2",I468,0)</f>
        <v>0</v>
      </c>
      <c r="X468" s="36">
        <f>IF(AG468="0",J468,0)</f>
        <v>0</v>
      </c>
      <c r="Y468" s="29"/>
      <c r="Z468" s="22">
        <f>IF(AD468=0,J468,0)</f>
        <v>0</v>
      </c>
      <c r="AA468" s="22">
        <f>IF(AD468=15,J468,0)</f>
        <v>0</v>
      </c>
      <c r="AB468" s="22">
        <f>IF(AD468=21,J468,0)</f>
        <v>0</v>
      </c>
      <c r="AD468" s="36">
        <v>21</v>
      </c>
      <c r="AE468" s="36">
        <f>G468*1</f>
        <v>0</v>
      </c>
      <c r="AF468" s="36">
        <f>G468*(1-1)</f>
        <v>0</v>
      </c>
      <c r="AG468" s="33" t="s">
        <v>13</v>
      </c>
      <c r="AM468" s="36">
        <f>F468*AE468</f>
        <v>0</v>
      </c>
      <c r="AN468" s="36">
        <f>F468*AF468</f>
        <v>0</v>
      </c>
      <c r="AO468" s="37" t="s">
        <v>1082</v>
      </c>
      <c r="AP468" s="37" t="s">
        <v>1099</v>
      </c>
      <c r="AQ468" s="29" t="s">
        <v>1101</v>
      </c>
      <c r="AS468" s="36">
        <f>AM468+AN468</f>
        <v>0</v>
      </c>
      <c r="AT468" s="36">
        <f>G468/(100-AU468)*100</f>
        <v>0</v>
      </c>
      <c r="AU468" s="36">
        <v>0</v>
      </c>
      <c r="AV468" s="36">
        <f>L468</f>
        <v>2.510978496</v>
      </c>
    </row>
    <row r="469" spans="4:6" ht="12.75">
      <c r="D469" s="17" t="s">
        <v>956</v>
      </c>
      <c r="F469" s="21">
        <v>124.5525</v>
      </c>
    </row>
    <row r="470" spans="4:6" ht="12.75">
      <c r="D470" s="17" t="s">
        <v>957</v>
      </c>
      <c r="F470" s="21">
        <v>6.22763</v>
      </c>
    </row>
    <row r="471" spans="1:48" ht="12.75">
      <c r="A471" s="6" t="s">
        <v>234</v>
      </c>
      <c r="B471" s="6"/>
      <c r="C471" s="6" t="s">
        <v>493</v>
      </c>
      <c r="D471" s="6" t="s">
        <v>958</v>
      </c>
      <c r="E471" s="6" t="s">
        <v>1018</v>
      </c>
      <c r="F471" s="22">
        <v>301.104</v>
      </c>
      <c r="G471" s="22">
        <v>0</v>
      </c>
      <c r="H471" s="22">
        <f>F471*AE471</f>
        <v>0</v>
      </c>
      <c r="I471" s="22">
        <f>J471-H471</f>
        <v>0</v>
      </c>
      <c r="J471" s="22">
        <f>F471*G471</f>
        <v>0</v>
      </c>
      <c r="K471" s="22">
        <v>0.00045</v>
      </c>
      <c r="L471" s="22">
        <f>F471*K471</f>
        <v>0.1354968</v>
      </c>
      <c r="M471" s="33" t="s">
        <v>1040</v>
      </c>
      <c r="P471" s="36">
        <f>IF(AG471="5",J471,0)</f>
        <v>0</v>
      </c>
      <c r="R471" s="36">
        <f>IF(AG471="1",H471,0)</f>
        <v>0</v>
      </c>
      <c r="S471" s="36">
        <f>IF(AG471="1",I471,0)</f>
        <v>0</v>
      </c>
      <c r="T471" s="36">
        <f>IF(AG471="7",H471,0)</f>
        <v>0</v>
      </c>
      <c r="U471" s="36">
        <f>IF(AG471="7",I471,0)</f>
        <v>0</v>
      </c>
      <c r="V471" s="36">
        <f>IF(AG471="2",H471,0)</f>
        <v>0</v>
      </c>
      <c r="W471" s="36">
        <f>IF(AG471="2",I471,0)</f>
        <v>0</v>
      </c>
      <c r="X471" s="36">
        <f>IF(AG471="0",J471,0)</f>
        <v>0</v>
      </c>
      <c r="Y471" s="29"/>
      <c r="Z471" s="22">
        <f>IF(AD471=0,J471,0)</f>
        <v>0</v>
      </c>
      <c r="AA471" s="22">
        <f>IF(AD471=15,J471,0)</f>
        <v>0</v>
      </c>
      <c r="AB471" s="22">
        <f>IF(AD471=21,J471,0)</f>
        <v>0</v>
      </c>
      <c r="AD471" s="36">
        <v>21</v>
      </c>
      <c r="AE471" s="36">
        <f>G471*1</f>
        <v>0</v>
      </c>
      <c r="AF471" s="36">
        <f>G471*(1-1)</f>
        <v>0</v>
      </c>
      <c r="AG471" s="33" t="s">
        <v>13</v>
      </c>
      <c r="AM471" s="36">
        <f>F471*AE471</f>
        <v>0</v>
      </c>
      <c r="AN471" s="36">
        <f>F471*AF471</f>
        <v>0</v>
      </c>
      <c r="AO471" s="37" t="s">
        <v>1082</v>
      </c>
      <c r="AP471" s="37" t="s">
        <v>1099</v>
      </c>
      <c r="AQ471" s="29" t="s">
        <v>1101</v>
      </c>
      <c r="AS471" s="36">
        <f>AM471+AN471</f>
        <v>0</v>
      </c>
      <c r="AT471" s="36">
        <f>G471/(100-AU471)*100</f>
        <v>0</v>
      </c>
      <c r="AU471" s="36">
        <v>0</v>
      </c>
      <c r="AV471" s="36">
        <f>L471</f>
        <v>0.1354968</v>
      </c>
    </row>
    <row r="472" spans="4:6" ht="12.75">
      <c r="D472" s="17" t="s">
        <v>959</v>
      </c>
      <c r="F472" s="21">
        <v>295.2</v>
      </c>
    </row>
    <row r="473" spans="4:6" ht="12.75">
      <c r="D473" s="17" t="s">
        <v>960</v>
      </c>
      <c r="F473" s="21">
        <v>5.904</v>
      </c>
    </row>
    <row r="474" spans="1:48" ht="12.75">
      <c r="A474" s="4" t="s">
        <v>235</v>
      </c>
      <c r="B474" s="4"/>
      <c r="C474" s="4" t="s">
        <v>494</v>
      </c>
      <c r="D474" s="4" t="s">
        <v>961</v>
      </c>
      <c r="E474" s="4" t="s">
        <v>1019</v>
      </c>
      <c r="F474" s="20">
        <v>11</v>
      </c>
      <c r="G474" s="20">
        <v>0</v>
      </c>
      <c r="H474" s="20">
        <f>F474*AE474</f>
        <v>0</v>
      </c>
      <c r="I474" s="20">
        <f>J474-H474</f>
        <v>0</v>
      </c>
      <c r="J474" s="20">
        <f>F474*G474</f>
        <v>0</v>
      </c>
      <c r="K474" s="20">
        <v>0.00037</v>
      </c>
      <c r="L474" s="20">
        <f>F474*K474</f>
        <v>0.00407</v>
      </c>
      <c r="M474" s="32" t="s">
        <v>1040</v>
      </c>
      <c r="P474" s="36">
        <f>IF(AG474="5",J474,0)</f>
        <v>0</v>
      </c>
      <c r="R474" s="36">
        <f>IF(AG474="1",H474,0)</f>
        <v>0</v>
      </c>
      <c r="S474" s="36">
        <f>IF(AG474="1",I474,0)</f>
        <v>0</v>
      </c>
      <c r="T474" s="36">
        <f>IF(AG474="7",H474,0)</f>
        <v>0</v>
      </c>
      <c r="U474" s="36">
        <f>IF(AG474="7",I474,0)</f>
        <v>0</v>
      </c>
      <c r="V474" s="36">
        <f>IF(AG474="2",H474,0)</f>
        <v>0</v>
      </c>
      <c r="W474" s="36">
        <f>IF(AG474="2",I474,0)</f>
        <v>0</v>
      </c>
      <c r="X474" s="36">
        <f>IF(AG474="0",J474,0)</f>
        <v>0</v>
      </c>
      <c r="Y474" s="29"/>
      <c r="Z474" s="20">
        <f>IF(AD474=0,J474,0)</f>
        <v>0</v>
      </c>
      <c r="AA474" s="20">
        <f>IF(AD474=15,J474,0)</f>
        <v>0</v>
      </c>
      <c r="AB474" s="20">
        <f>IF(AD474=21,J474,0)</f>
        <v>0</v>
      </c>
      <c r="AD474" s="36">
        <v>21</v>
      </c>
      <c r="AE474" s="36">
        <f>G474*0.7298</f>
        <v>0</v>
      </c>
      <c r="AF474" s="36">
        <f>G474*(1-0.7298)</f>
        <v>0</v>
      </c>
      <c r="AG474" s="32" t="s">
        <v>13</v>
      </c>
      <c r="AM474" s="36">
        <f>F474*AE474</f>
        <v>0</v>
      </c>
      <c r="AN474" s="36">
        <f>F474*AF474</f>
        <v>0</v>
      </c>
      <c r="AO474" s="37" t="s">
        <v>1082</v>
      </c>
      <c r="AP474" s="37" t="s">
        <v>1099</v>
      </c>
      <c r="AQ474" s="29" t="s">
        <v>1101</v>
      </c>
      <c r="AS474" s="36">
        <f>AM474+AN474</f>
        <v>0</v>
      </c>
      <c r="AT474" s="36">
        <f>G474/(100-AU474)*100</f>
        <v>0</v>
      </c>
      <c r="AU474" s="36">
        <v>0</v>
      </c>
      <c r="AV474" s="36">
        <f>L474</f>
        <v>0.00407</v>
      </c>
    </row>
    <row r="475" spans="4:6" ht="12.75">
      <c r="D475" s="17" t="s">
        <v>962</v>
      </c>
      <c r="F475" s="21">
        <v>11</v>
      </c>
    </row>
    <row r="476" spans="3:13" ht="12.75">
      <c r="C476" s="14" t="s">
        <v>255</v>
      </c>
      <c r="D476" s="91" t="s">
        <v>963</v>
      </c>
      <c r="E476" s="92"/>
      <c r="F476" s="92"/>
      <c r="G476" s="92"/>
      <c r="H476" s="92"/>
      <c r="I476" s="92"/>
      <c r="J476" s="92"/>
      <c r="K476" s="92"/>
      <c r="L476" s="92"/>
      <c r="M476" s="92"/>
    </row>
    <row r="477" spans="1:48" ht="12.75">
      <c r="A477" s="4" t="s">
        <v>236</v>
      </c>
      <c r="B477" s="4"/>
      <c r="C477" s="4" t="s">
        <v>495</v>
      </c>
      <c r="D477" s="4" t="s">
        <v>964</v>
      </c>
      <c r="E477" s="4" t="s">
        <v>1015</v>
      </c>
      <c r="F477" s="20">
        <v>3.30861</v>
      </c>
      <c r="G477" s="20">
        <v>0</v>
      </c>
      <c r="H477" s="20">
        <f>F477*AE477</f>
        <v>0</v>
      </c>
      <c r="I477" s="20">
        <f>J477-H477</f>
        <v>0</v>
      </c>
      <c r="J477" s="20">
        <f>F477*G477</f>
        <v>0</v>
      </c>
      <c r="K477" s="20">
        <v>0</v>
      </c>
      <c r="L477" s="20">
        <f>F477*K477</f>
        <v>0</v>
      </c>
      <c r="M477" s="32" t="s">
        <v>1040</v>
      </c>
      <c r="P477" s="36">
        <f>IF(AG477="5",J477,0)</f>
        <v>0</v>
      </c>
      <c r="R477" s="36">
        <f>IF(AG477="1",H477,0)</f>
        <v>0</v>
      </c>
      <c r="S477" s="36">
        <f>IF(AG477="1",I477,0)</f>
        <v>0</v>
      </c>
      <c r="T477" s="36">
        <f>IF(AG477="7",H477,0)</f>
        <v>0</v>
      </c>
      <c r="U477" s="36">
        <f>IF(AG477="7",I477,0)</f>
        <v>0</v>
      </c>
      <c r="V477" s="36">
        <f>IF(AG477="2",H477,0)</f>
        <v>0</v>
      </c>
      <c r="W477" s="36">
        <f>IF(AG477="2",I477,0)</f>
        <v>0</v>
      </c>
      <c r="X477" s="36">
        <f>IF(AG477="0",J477,0)</f>
        <v>0</v>
      </c>
      <c r="Y477" s="29"/>
      <c r="Z477" s="20">
        <f>IF(AD477=0,J477,0)</f>
        <v>0</v>
      </c>
      <c r="AA477" s="20">
        <f>IF(AD477=15,J477,0)</f>
        <v>0</v>
      </c>
      <c r="AB477" s="20">
        <f>IF(AD477=21,J477,0)</f>
        <v>0</v>
      </c>
      <c r="AD477" s="36">
        <v>21</v>
      </c>
      <c r="AE477" s="36">
        <f>G477*0</f>
        <v>0</v>
      </c>
      <c r="AF477" s="36">
        <f>G477*(1-0)</f>
        <v>0</v>
      </c>
      <c r="AG477" s="32" t="s">
        <v>11</v>
      </c>
      <c r="AM477" s="36">
        <f>F477*AE477</f>
        <v>0</v>
      </c>
      <c r="AN477" s="36">
        <f>F477*AF477</f>
        <v>0</v>
      </c>
      <c r="AO477" s="37" t="s">
        <v>1082</v>
      </c>
      <c r="AP477" s="37" t="s">
        <v>1099</v>
      </c>
      <c r="AQ477" s="29" t="s">
        <v>1101</v>
      </c>
      <c r="AS477" s="36">
        <f>AM477+AN477</f>
        <v>0</v>
      </c>
      <c r="AT477" s="36">
        <f>G477/(100-AU477)*100</f>
        <v>0</v>
      </c>
      <c r="AU477" s="36">
        <v>0</v>
      </c>
      <c r="AV477" s="36">
        <f>L477</f>
        <v>0</v>
      </c>
    </row>
    <row r="478" spans="1:37" ht="12.75">
      <c r="A478" s="5"/>
      <c r="B478" s="13"/>
      <c r="C478" s="13" t="s">
        <v>496</v>
      </c>
      <c r="D478" s="93" t="s">
        <v>965</v>
      </c>
      <c r="E478" s="94"/>
      <c r="F478" s="94"/>
      <c r="G478" s="94"/>
      <c r="H478" s="39">
        <f>SUM(H479:H482)</f>
        <v>0</v>
      </c>
      <c r="I478" s="39">
        <f>SUM(I479:I482)</f>
        <v>0</v>
      </c>
      <c r="J478" s="39">
        <f>H478+I478</f>
        <v>0</v>
      </c>
      <c r="K478" s="29"/>
      <c r="L478" s="39">
        <f>SUM(L479:L482)</f>
        <v>0.0577808</v>
      </c>
      <c r="M478" s="29"/>
      <c r="Y478" s="29"/>
      <c r="AI478" s="39">
        <f>SUM(Z479:Z482)</f>
        <v>0</v>
      </c>
      <c r="AJ478" s="39">
        <f>SUM(AA479:AA482)</f>
        <v>0</v>
      </c>
      <c r="AK478" s="39">
        <f>SUM(AB479:AB482)</f>
        <v>0</v>
      </c>
    </row>
    <row r="479" spans="1:48" ht="12.75">
      <c r="A479" s="4" t="s">
        <v>237</v>
      </c>
      <c r="B479" s="4"/>
      <c r="C479" s="4" t="s">
        <v>497</v>
      </c>
      <c r="D479" s="4" t="s">
        <v>966</v>
      </c>
      <c r="E479" s="4" t="s">
        <v>1016</v>
      </c>
      <c r="F479" s="20">
        <v>43.12</v>
      </c>
      <c r="G479" s="20">
        <v>0</v>
      </c>
      <c r="H479" s="20">
        <f>F479*AE479</f>
        <v>0</v>
      </c>
      <c r="I479" s="20">
        <f>J479-H479</f>
        <v>0</v>
      </c>
      <c r="J479" s="20">
        <f>F479*G479</f>
        <v>0</v>
      </c>
      <c r="K479" s="20">
        <v>0.00134</v>
      </c>
      <c r="L479" s="20">
        <f>F479*K479</f>
        <v>0.0577808</v>
      </c>
      <c r="M479" s="32" t="s">
        <v>1040</v>
      </c>
      <c r="P479" s="36">
        <f>IF(AG479="5",J479,0)</f>
        <v>0</v>
      </c>
      <c r="R479" s="36">
        <f>IF(AG479="1",H479,0)</f>
        <v>0</v>
      </c>
      <c r="S479" s="36">
        <f>IF(AG479="1",I479,0)</f>
        <v>0</v>
      </c>
      <c r="T479" s="36">
        <f>IF(AG479="7",H479,0)</f>
        <v>0</v>
      </c>
      <c r="U479" s="36">
        <f>IF(AG479="7",I479,0)</f>
        <v>0</v>
      </c>
      <c r="V479" s="36">
        <f>IF(AG479="2",H479,0)</f>
        <v>0</v>
      </c>
      <c r="W479" s="36">
        <f>IF(AG479="2",I479,0)</f>
        <v>0</v>
      </c>
      <c r="X479" s="36">
        <f>IF(AG479="0",J479,0)</f>
        <v>0</v>
      </c>
      <c r="Y479" s="29"/>
      <c r="Z479" s="20">
        <f>IF(AD479=0,J479,0)</f>
        <v>0</v>
      </c>
      <c r="AA479" s="20">
        <f>IF(AD479=15,J479,0)</f>
        <v>0</v>
      </c>
      <c r="AB479" s="20">
        <f>IF(AD479=21,J479,0)</f>
        <v>0</v>
      </c>
      <c r="AD479" s="36">
        <v>21</v>
      </c>
      <c r="AE479" s="36">
        <f>G479*0.734205298013245</f>
        <v>0</v>
      </c>
      <c r="AF479" s="36">
        <f>G479*(1-0.734205298013245)</f>
        <v>0</v>
      </c>
      <c r="AG479" s="32" t="s">
        <v>13</v>
      </c>
      <c r="AM479" s="36">
        <f>F479*AE479</f>
        <v>0</v>
      </c>
      <c r="AN479" s="36">
        <f>F479*AF479</f>
        <v>0</v>
      </c>
      <c r="AO479" s="37" t="s">
        <v>1083</v>
      </c>
      <c r="AP479" s="37" t="s">
        <v>1099</v>
      </c>
      <c r="AQ479" s="29" t="s">
        <v>1101</v>
      </c>
      <c r="AS479" s="36">
        <f>AM479+AN479</f>
        <v>0</v>
      </c>
      <c r="AT479" s="36">
        <f>G479/(100-AU479)*100</f>
        <v>0</v>
      </c>
      <c r="AU479" s="36">
        <v>0</v>
      </c>
      <c r="AV479" s="36">
        <f>L479</f>
        <v>0.0577808</v>
      </c>
    </row>
    <row r="480" spans="4:6" ht="12.75">
      <c r="D480" s="17" t="s">
        <v>967</v>
      </c>
      <c r="F480" s="21">
        <v>43.12</v>
      </c>
    </row>
    <row r="481" spans="3:13" ht="12.75">
      <c r="C481" s="14" t="s">
        <v>255</v>
      </c>
      <c r="D481" s="91" t="s">
        <v>968</v>
      </c>
      <c r="E481" s="92"/>
      <c r="F481" s="92"/>
      <c r="G481" s="92"/>
      <c r="H481" s="92"/>
      <c r="I481" s="92"/>
      <c r="J481" s="92"/>
      <c r="K481" s="92"/>
      <c r="L481" s="92"/>
      <c r="M481" s="92"/>
    </row>
    <row r="482" spans="1:48" ht="12.75">
      <c r="A482" s="4" t="s">
        <v>238</v>
      </c>
      <c r="B482" s="4"/>
      <c r="C482" s="4" t="s">
        <v>498</v>
      </c>
      <c r="D482" s="4" t="s">
        <v>969</v>
      </c>
      <c r="E482" s="4" t="s">
        <v>1015</v>
      </c>
      <c r="F482" s="20">
        <v>0.05778</v>
      </c>
      <c r="G482" s="20">
        <v>0</v>
      </c>
      <c r="H482" s="20">
        <f>F482*AE482</f>
        <v>0</v>
      </c>
      <c r="I482" s="20">
        <f>J482-H482</f>
        <v>0</v>
      </c>
      <c r="J482" s="20">
        <f>F482*G482</f>
        <v>0</v>
      </c>
      <c r="K482" s="20">
        <v>0</v>
      </c>
      <c r="L482" s="20">
        <f>F482*K482</f>
        <v>0</v>
      </c>
      <c r="M482" s="32" t="s">
        <v>1040</v>
      </c>
      <c r="P482" s="36">
        <f>IF(AG482="5",J482,0)</f>
        <v>0</v>
      </c>
      <c r="R482" s="36">
        <f>IF(AG482="1",H482,0)</f>
        <v>0</v>
      </c>
      <c r="S482" s="36">
        <f>IF(AG482="1",I482,0)</f>
        <v>0</v>
      </c>
      <c r="T482" s="36">
        <f>IF(AG482="7",H482,0)</f>
        <v>0</v>
      </c>
      <c r="U482" s="36">
        <f>IF(AG482="7",I482,0)</f>
        <v>0</v>
      </c>
      <c r="V482" s="36">
        <f>IF(AG482="2",H482,0)</f>
        <v>0</v>
      </c>
      <c r="W482" s="36">
        <f>IF(AG482="2",I482,0)</f>
        <v>0</v>
      </c>
      <c r="X482" s="36">
        <f>IF(AG482="0",J482,0)</f>
        <v>0</v>
      </c>
      <c r="Y482" s="29"/>
      <c r="Z482" s="20">
        <f>IF(AD482=0,J482,0)</f>
        <v>0</v>
      </c>
      <c r="AA482" s="20">
        <f>IF(AD482=15,J482,0)</f>
        <v>0</v>
      </c>
      <c r="AB482" s="20">
        <f>IF(AD482=21,J482,0)</f>
        <v>0</v>
      </c>
      <c r="AD482" s="36">
        <v>21</v>
      </c>
      <c r="AE482" s="36">
        <f>G482*0</f>
        <v>0</v>
      </c>
      <c r="AF482" s="36">
        <f>G482*(1-0)</f>
        <v>0</v>
      </c>
      <c r="AG482" s="32" t="s">
        <v>11</v>
      </c>
      <c r="AM482" s="36">
        <f>F482*AE482</f>
        <v>0</v>
      </c>
      <c r="AN482" s="36">
        <f>F482*AF482</f>
        <v>0</v>
      </c>
      <c r="AO482" s="37" t="s">
        <v>1083</v>
      </c>
      <c r="AP482" s="37" t="s">
        <v>1099</v>
      </c>
      <c r="AQ482" s="29" t="s">
        <v>1101</v>
      </c>
      <c r="AS482" s="36">
        <f>AM482+AN482</f>
        <v>0</v>
      </c>
      <c r="AT482" s="36">
        <f>G482/(100-AU482)*100</f>
        <v>0</v>
      </c>
      <c r="AU482" s="36">
        <v>0</v>
      </c>
      <c r="AV482" s="36">
        <f>L482</f>
        <v>0</v>
      </c>
    </row>
    <row r="483" spans="1:37" ht="12.75">
      <c r="A483" s="5"/>
      <c r="B483" s="13"/>
      <c r="C483" s="13" t="s">
        <v>499</v>
      </c>
      <c r="D483" s="93" t="s">
        <v>970</v>
      </c>
      <c r="E483" s="94"/>
      <c r="F483" s="94"/>
      <c r="G483" s="94"/>
      <c r="H483" s="39">
        <f>SUM(H484:H498)</f>
        <v>0</v>
      </c>
      <c r="I483" s="39">
        <f>SUM(I484:I498)</f>
        <v>0</v>
      </c>
      <c r="J483" s="39">
        <f>H483+I483</f>
        <v>0</v>
      </c>
      <c r="K483" s="29"/>
      <c r="L483" s="39">
        <f>SUM(L484:L498)</f>
        <v>3.149808816</v>
      </c>
      <c r="M483" s="29"/>
      <c r="Y483" s="29"/>
      <c r="AI483" s="39">
        <f>SUM(Z484:Z498)</f>
        <v>0</v>
      </c>
      <c r="AJ483" s="39">
        <f>SUM(AA484:AA498)</f>
        <v>0</v>
      </c>
      <c r="AK483" s="39">
        <f>SUM(AB484:AB498)</f>
        <v>0</v>
      </c>
    </row>
    <row r="484" spans="1:48" ht="12.75">
      <c r="A484" s="4" t="s">
        <v>239</v>
      </c>
      <c r="B484" s="4"/>
      <c r="C484" s="4" t="s">
        <v>500</v>
      </c>
      <c r="D484" s="4" t="s">
        <v>971</v>
      </c>
      <c r="E484" s="4" t="s">
        <v>1019</v>
      </c>
      <c r="F484" s="20">
        <v>1.12</v>
      </c>
      <c r="G484" s="20">
        <v>0</v>
      </c>
      <c r="H484" s="20">
        <f>F484*AE484</f>
        <v>0</v>
      </c>
      <c r="I484" s="20">
        <f>J484-H484</f>
        <v>0</v>
      </c>
      <c r="J484" s="20">
        <f>F484*G484</f>
        <v>0</v>
      </c>
      <c r="K484" s="20">
        <v>0</v>
      </c>
      <c r="L484" s="20">
        <f>F484*K484</f>
        <v>0</v>
      </c>
      <c r="M484" s="32" t="s">
        <v>1040</v>
      </c>
      <c r="P484" s="36">
        <f>IF(AG484="5",J484,0)</f>
        <v>0</v>
      </c>
      <c r="R484" s="36">
        <f>IF(AG484="1",H484,0)</f>
        <v>0</v>
      </c>
      <c r="S484" s="36">
        <f>IF(AG484="1",I484,0)</f>
        <v>0</v>
      </c>
      <c r="T484" s="36">
        <f>IF(AG484="7",H484,0)</f>
        <v>0</v>
      </c>
      <c r="U484" s="36">
        <f>IF(AG484="7",I484,0)</f>
        <v>0</v>
      </c>
      <c r="V484" s="36">
        <f>IF(AG484="2",H484,0)</f>
        <v>0</v>
      </c>
      <c r="W484" s="36">
        <f>IF(AG484="2",I484,0)</f>
        <v>0</v>
      </c>
      <c r="X484" s="36">
        <f>IF(AG484="0",J484,0)</f>
        <v>0</v>
      </c>
      <c r="Y484" s="29"/>
      <c r="Z484" s="20">
        <f>IF(AD484=0,J484,0)</f>
        <v>0</v>
      </c>
      <c r="AA484" s="20">
        <f>IF(AD484=15,J484,0)</f>
        <v>0</v>
      </c>
      <c r="AB484" s="20">
        <f>IF(AD484=21,J484,0)</f>
        <v>0</v>
      </c>
      <c r="AD484" s="36">
        <v>21</v>
      </c>
      <c r="AE484" s="36">
        <f>G484*0</f>
        <v>0</v>
      </c>
      <c r="AF484" s="36">
        <f>G484*(1-0)</f>
        <v>0</v>
      </c>
      <c r="AG484" s="32" t="s">
        <v>13</v>
      </c>
      <c r="AM484" s="36">
        <f>F484*AE484</f>
        <v>0</v>
      </c>
      <c r="AN484" s="36">
        <f>F484*AF484</f>
        <v>0</v>
      </c>
      <c r="AO484" s="37" t="s">
        <v>1084</v>
      </c>
      <c r="AP484" s="37" t="s">
        <v>1100</v>
      </c>
      <c r="AQ484" s="29" t="s">
        <v>1101</v>
      </c>
      <c r="AS484" s="36">
        <f>AM484+AN484</f>
        <v>0</v>
      </c>
      <c r="AT484" s="36">
        <f>G484/(100-AU484)*100</f>
        <v>0</v>
      </c>
      <c r="AU484" s="36">
        <v>0</v>
      </c>
      <c r="AV484" s="36">
        <f>L484</f>
        <v>0</v>
      </c>
    </row>
    <row r="485" spans="4:6" ht="12.75">
      <c r="D485" s="17" t="s">
        <v>972</v>
      </c>
      <c r="F485" s="21">
        <v>1.12</v>
      </c>
    </row>
    <row r="486" spans="1:48" ht="12.75">
      <c r="A486" s="4" t="s">
        <v>240</v>
      </c>
      <c r="B486" s="4"/>
      <c r="C486" s="4" t="s">
        <v>501</v>
      </c>
      <c r="D486" s="4" t="s">
        <v>973</v>
      </c>
      <c r="E486" s="4" t="s">
        <v>1019</v>
      </c>
      <c r="F486" s="20">
        <v>6</v>
      </c>
      <c r="G486" s="20">
        <v>0</v>
      </c>
      <c r="H486" s="20">
        <f>F486*AE486</f>
        <v>0</v>
      </c>
      <c r="I486" s="20">
        <f>J486-H486</f>
        <v>0</v>
      </c>
      <c r="J486" s="20">
        <f>F486*G486</f>
        <v>0</v>
      </c>
      <c r="K486" s="20">
        <v>0</v>
      </c>
      <c r="L486" s="20">
        <f>F486*K486</f>
        <v>0</v>
      </c>
      <c r="M486" s="32" t="s">
        <v>1040</v>
      </c>
      <c r="P486" s="36">
        <f>IF(AG486="5",J486,0)</f>
        <v>0</v>
      </c>
      <c r="R486" s="36">
        <f>IF(AG486="1",H486,0)</f>
        <v>0</v>
      </c>
      <c r="S486" s="36">
        <f>IF(AG486="1",I486,0)</f>
        <v>0</v>
      </c>
      <c r="T486" s="36">
        <f>IF(AG486="7",H486,0)</f>
        <v>0</v>
      </c>
      <c r="U486" s="36">
        <f>IF(AG486="7",I486,0)</f>
        <v>0</v>
      </c>
      <c r="V486" s="36">
        <f>IF(AG486="2",H486,0)</f>
        <v>0</v>
      </c>
      <c r="W486" s="36">
        <f>IF(AG486="2",I486,0)</f>
        <v>0</v>
      </c>
      <c r="X486" s="36">
        <f>IF(AG486="0",J486,0)</f>
        <v>0</v>
      </c>
      <c r="Y486" s="29"/>
      <c r="Z486" s="20">
        <f>IF(AD486=0,J486,0)</f>
        <v>0</v>
      </c>
      <c r="AA486" s="20">
        <f>IF(AD486=15,J486,0)</f>
        <v>0</v>
      </c>
      <c r="AB486" s="20">
        <f>IF(AD486=21,J486,0)</f>
        <v>0</v>
      </c>
      <c r="AD486" s="36">
        <v>21</v>
      </c>
      <c r="AE486" s="36">
        <f>G486*0</f>
        <v>0</v>
      </c>
      <c r="AF486" s="36">
        <f>G486*(1-0)</f>
        <v>0</v>
      </c>
      <c r="AG486" s="32" t="s">
        <v>13</v>
      </c>
      <c r="AM486" s="36">
        <f>F486*AE486</f>
        <v>0</v>
      </c>
      <c r="AN486" s="36">
        <f>F486*AF486</f>
        <v>0</v>
      </c>
      <c r="AO486" s="37" t="s">
        <v>1084</v>
      </c>
      <c r="AP486" s="37" t="s">
        <v>1100</v>
      </c>
      <c r="AQ486" s="29" t="s">
        <v>1101</v>
      </c>
      <c r="AS486" s="36">
        <f>AM486+AN486</f>
        <v>0</v>
      </c>
      <c r="AT486" s="36">
        <f>G486/(100-AU486)*100</f>
        <v>0</v>
      </c>
      <c r="AU486" s="36">
        <v>0</v>
      </c>
      <c r="AV486" s="36">
        <f>L486</f>
        <v>0</v>
      </c>
    </row>
    <row r="487" spans="4:6" ht="12.75">
      <c r="D487" s="17" t="s">
        <v>910</v>
      </c>
      <c r="F487" s="21">
        <v>6</v>
      </c>
    </row>
    <row r="488" spans="1:48" ht="12.75">
      <c r="A488" s="4" t="s">
        <v>241</v>
      </c>
      <c r="B488" s="4"/>
      <c r="C488" s="4" t="s">
        <v>502</v>
      </c>
      <c r="D488" s="4" t="s">
        <v>974</v>
      </c>
      <c r="E488" s="4" t="s">
        <v>1019</v>
      </c>
      <c r="F488" s="20">
        <v>36.68</v>
      </c>
      <c r="G488" s="20">
        <v>0</v>
      </c>
      <c r="H488" s="20">
        <f>F488*AE488</f>
        <v>0</v>
      </c>
      <c r="I488" s="20">
        <f>J488-H488</f>
        <v>0</v>
      </c>
      <c r="J488" s="20">
        <f>F488*G488</f>
        <v>0</v>
      </c>
      <c r="K488" s="20">
        <v>0.0001</v>
      </c>
      <c r="L488" s="20">
        <f>F488*K488</f>
        <v>0.0036680000000000003</v>
      </c>
      <c r="M488" s="32" t="s">
        <v>1040</v>
      </c>
      <c r="P488" s="36">
        <f>IF(AG488="5",J488,0)</f>
        <v>0</v>
      </c>
      <c r="R488" s="36">
        <f>IF(AG488="1",H488,0)</f>
        <v>0</v>
      </c>
      <c r="S488" s="36">
        <f>IF(AG488="1",I488,0)</f>
        <v>0</v>
      </c>
      <c r="T488" s="36">
        <f>IF(AG488="7",H488,0)</f>
        <v>0</v>
      </c>
      <c r="U488" s="36">
        <f>IF(AG488="7",I488,0)</f>
        <v>0</v>
      </c>
      <c r="V488" s="36">
        <f>IF(AG488="2",H488,0)</f>
        <v>0</v>
      </c>
      <c r="W488" s="36">
        <f>IF(AG488="2",I488,0)</f>
        <v>0</v>
      </c>
      <c r="X488" s="36">
        <f>IF(AG488="0",J488,0)</f>
        <v>0</v>
      </c>
      <c r="Y488" s="29"/>
      <c r="Z488" s="20">
        <f>IF(AD488=0,J488,0)</f>
        <v>0</v>
      </c>
      <c r="AA488" s="20">
        <f>IF(AD488=15,J488,0)</f>
        <v>0</v>
      </c>
      <c r="AB488" s="20">
        <f>IF(AD488=21,J488,0)</f>
        <v>0</v>
      </c>
      <c r="AD488" s="36">
        <v>21</v>
      </c>
      <c r="AE488" s="36">
        <f>G488*0.83808988764045</f>
        <v>0</v>
      </c>
      <c r="AF488" s="36">
        <f>G488*(1-0.83808988764045)</f>
        <v>0</v>
      </c>
      <c r="AG488" s="32" t="s">
        <v>13</v>
      </c>
      <c r="AM488" s="36">
        <f>F488*AE488</f>
        <v>0</v>
      </c>
      <c r="AN488" s="36">
        <f>F488*AF488</f>
        <v>0</v>
      </c>
      <c r="AO488" s="37" t="s">
        <v>1084</v>
      </c>
      <c r="AP488" s="37" t="s">
        <v>1100</v>
      </c>
      <c r="AQ488" s="29" t="s">
        <v>1101</v>
      </c>
      <c r="AS488" s="36">
        <f>AM488+AN488</f>
        <v>0</v>
      </c>
      <c r="AT488" s="36">
        <f>G488/(100-AU488)*100</f>
        <v>0</v>
      </c>
      <c r="AU488" s="36">
        <v>0</v>
      </c>
      <c r="AV488" s="36">
        <f>L488</f>
        <v>0.0036680000000000003</v>
      </c>
    </row>
    <row r="489" spans="4:6" ht="12.75">
      <c r="D489" s="17" t="s">
        <v>975</v>
      </c>
      <c r="F489" s="21">
        <v>33.28</v>
      </c>
    </row>
    <row r="490" spans="4:6" ht="12.75">
      <c r="D490" s="17" t="s">
        <v>976</v>
      </c>
      <c r="F490" s="21">
        <v>3.4</v>
      </c>
    </row>
    <row r="491" spans="1:48" ht="12.75">
      <c r="A491" s="4" t="s">
        <v>242</v>
      </c>
      <c r="B491" s="4"/>
      <c r="C491" s="4" t="s">
        <v>503</v>
      </c>
      <c r="D491" s="4" t="s">
        <v>977</v>
      </c>
      <c r="E491" s="4" t="s">
        <v>1016</v>
      </c>
      <c r="F491" s="20">
        <v>175.292</v>
      </c>
      <c r="G491" s="20">
        <v>0</v>
      </c>
      <c r="H491" s="20">
        <f>F491*AE491</f>
        <v>0</v>
      </c>
      <c r="I491" s="20">
        <f>J491-H491</f>
        <v>0</v>
      </c>
      <c r="J491" s="20">
        <f>F491*G491</f>
        <v>0</v>
      </c>
      <c r="K491" s="20">
        <v>0.00497</v>
      </c>
      <c r="L491" s="20">
        <f>F491*K491</f>
        <v>0.87120124</v>
      </c>
      <c r="M491" s="32" t="s">
        <v>1040</v>
      </c>
      <c r="P491" s="36">
        <f>IF(AG491="5",J491,0)</f>
        <v>0</v>
      </c>
      <c r="R491" s="36">
        <f>IF(AG491="1",H491,0)</f>
        <v>0</v>
      </c>
      <c r="S491" s="36">
        <f>IF(AG491="1",I491,0)</f>
        <v>0</v>
      </c>
      <c r="T491" s="36">
        <f>IF(AG491="7",H491,0)</f>
        <v>0</v>
      </c>
      <c r="U491" s="36">
        <f>IF(AG491="7",I491,0)</f>
        <v>0</v>
      </c>
      <c r="V491" s="36">
        <f>IF(AG491="2",H491,0)</f>
        <v>0</v>
      </c>
      <c r="W491" s="36">
        <f>IF(AG491="2",I491,0)</f>
        <v>0</v>
      </c>
      <c r="X491" s="36">
        <f>IF(AG491="0",J491,0)</f>
        <v>0</v>
      </c>
      <c r="Y491" s="29"/>
      <c r="Z491" s="20">
        <f>IF(AD491=0,J491,0)</f>
        <v>0</v>
      </c>
      <c r="AA491" s="20">
        <f>IF(AD491=15,J491,0)</f>
        <v>0</v>
      </c>
      <c r="AB491" s="20">
        <f>IF(AD491=21,J491,0)</f>
        <v>0</v>
      </c>
      <c r="AD491" s="36">
        <v>21</v>
      </c>
      <c r="AE491" s="36">
        <f>G491*0.181880592233232</f>
        <v>0</v>
      </c>
      <c r="AF491" s="36">
        <f>G491*(1-0.181880592233232)</f>
        <v>0</v>
      </c>
      <c r="AG491" s="32" t="s">
        <v>13</v>
      </c>
      <c r="AM491" s="36">
        <f>F491*AE491</f>
        <v>0</v>
      </c>
      <c r="AN491" s="36">
        <f>F491*AF491</f>
        <v>0</v>
      </c>
      <c r="AO491" s="37" t="s">
        <v>1084</v>
      </c>
      <c r="AP491" s="37" t="s">
        <v>1100</v>
      </c>
      <c r="AQ491" s="29" t="s">
        <v>1101</v>
      </c>
      <c r="AS491" s="36">
        <f>AM491+AN491</f>
        <v>0</v>
      </c>
      <c r="AT491" s="36">
        <f>G491/(100-AU491)*100</f>
        <v>0</v>
      </c>
      <c r="AU491" s="36">
        <v>0</v>
      </c>
      <c r="AV491" s="36">
        <f>L491</f>
        <v>0.87120124</v>
      </c>
    </row>
    <row r="492" spans="4:6" ht="12.75">
      <c r="D492" s="17" t="s">
        <v>978</v>
      </c>
      <c r="F492" s="21">
        <v>95.964</v>
      </c>
    </row>
    <row r="493" spans="4:6" ht="12.75">
      <c r="D493" s="17" t="s">
        <v>979</v>
      </c>
      <c r="F493" s="21">
        <v>44.704</v>
      </c>
    </row>
    <row r="494" spans="4:6" ht="12.75">
      <c r="D494" s="17" t="s">
        <v>980</v>
      </c>
      <c r="F494" s="21">
        <v>34.624</v>
      </c>
    </row>
    <row r="495" spans="1:48" ht="12.75">
      <c r="A495" s="6" t="s">
        <v>243</v>
      </c>
      <c r="B495" s="6"/>
      <c r="C495" s="6" t="s">
        <v>504</v>
      </c>
      <c r="D495" s="6" t="s">
        <v>981</v>
      </c>
      <c r="E495" s="6" t="s">
        <v>1016</v>
      </c>
      <c r="F495" s="22">
        <v>180.55076</v>
      </c>
      <c r="G495" s="22">
        <v>0</v>
      </c>
      <c r="H495" s="22">
        <f>F495*AE495</f>
        <v>0</v>
      </c>
      <c r="I495" s="22">
        <f>J495-H495</f>
        <v>0</v>
      </c>
      <c r="J495" s="22">
        <f>F495*G495</f>
        <v>0</v>
      </c>
      <c r="K495" s="22">
        <v>0.0126</v>
      </c>
      <c r="L495" s="22">
        <f>F495*K495</f>
        <v>2.274939576</v>
      </c>
      <c r="M495" s="33" t="s">
        <v>1040</v>
      </c>
      <c r="P495" s="36">
        <f>IF(AG495="5",J495,0)</f>
        <v>0</v>
      </c>
      <c r="R495" s="36">
        <f>IF(AG495="1",H495,0)</f>
        <v>0</v>
      </c>
      <c r="S495" s="36">
        <f>IF(AG495="1",I495,0)</f>
        <v>0</v>
      </c>
      <c r="T495" s="36">
        <f>IF(AG495="7",H495,0)</f>
        <v>0</v>
      </c>
      <c r="U495" s="36">
        <f>IF(AG495="7",I495,0)</f>
        <v>0</v>
      </c>
      <c r="V495" s="36">
        <f>IF(AG495="2",H495,0)</f>
        <v>0</v>
      </c>
      <c r="W495" s="36">
        <f>IF(AG495="2",I495,0)</f>
        <v>0</v>
      </c>
      <c r="X495" s="36">
        <f>IF(AG495="0",J495,0)</f>
        <v>0</v>
      </c>
      <c r="Y495" s="29"/>
      <c r="Z495" s="22">
        <f>IF(AD495=0,J495,0)</f>
        <v>0</v>
      </c>
      <c r="AA495" s="22">
        <f>IF(AD495=15,J495,0)</f>
        <v>0</v>
      </c>
      <c r="AB495" s="22">
        <f>IF(AD495=21,J495,0)</f>
        <v>0</v>
      </c>
      <c r="AD495" s="36">
        <v>21</v>
      </c>
      <c r="AE495" s="36">
        <f>G495*1</f>
        <v>0</v>
      </c>
      <c r="AF495" s="36">
        <f>G495*(1-1)</f>
        <v>0</v>
      </c>
      <c r="AG495" s="33" t="s">
        <v>13</v>
      </c>
      <c r="AM495" s="36">
        <f>F495*AE495</f>
        <v>0</v>
      </c>
      <c r="AN495" s="36">
        <f>F495*AF495</f>
        <v>0</v>
      </c>
      <c r="AO495" s="37" t="s">
        <v>1084</v>
      </c>
      <c r="AP495" s="37" t="s">
        <v>1100</v>
      </c>
      <c r="AQ495" s="29" t="s">
        <v>1101</v>
      </c>
      <c r="AS495" s="36">
        <f>AM495+AN495</f>
        <v>0</v>
      </c>
      <c r="AT495" s="36">
        <f>G495/(100-AU495)*100</f>
        <v>0</v>
      </c>
      <c r="AU495" s="36">
        <v>0</v>
      </c>
      <c r="AV495" s="36">
        <f>L495</f>
        <v>2.274939576</v>
      </c>
    </row>
    <row r="496" spans="4:6" ht="12.75">
      <c r="D496" s="17" t="s">
        <v>982</v>
      </c>
      <c r="F496" s="21">
        <v>175.292</v>
      </c>
    </row>
    <row r="497" spans="4:6" ht="12.75">
      <c r="D497" s="17" t="s">
        <v>983</v>
      </c>
      <c r="F497" s="21">
        <v>5.25876</v>
      </c>
    </row>
    <row r="498" spans="1:48" ht="12.75">
      <c r="A498" s="4" t="s">
        <v>244</v>
      </c>
      <c r="B498" s="4"/>
      <c r="C498" s="4" t="s">
        <v>505</v>
      </c>
      <c r="D498" s="4" t="s">
        <v>984</v>
      </c>
      <c r="E498" s="4" t="s">
        <v>1015</v>
      </c>
      <c r="F498" s="20">
        <v>3.14981</v>
      </c>
      <c r="G498" s="20">
        <v>0</v>
      </c>
      <c r="H498" s="20">
        <f>F498*AE498</f>
        <v>0</v>
      </c>
      <c r="I498" s="20">
        <f>J498-H498</f>
        <v>0</v>
      </c>
      <c r="J498" s="20">
        <f>F498*G498</f>
        <v>0</v>
      </c>
      <c r="K498" s="20">
        <v>0</v>
      </c>
      <c r="L498" s="20">
        <f>F498*K498</f>
        <v>0</v>
      </c>
      <c r="M498" s="32" t="s">
        <v>1040</v>
      </c>
      <c r="P498" s="36">
        <f>IF(AG498="5",J498,0)</f>
        <v>0</v>
      </c>
      <c r="R498" s="36">
        <f>IF(AG498="1",H498,0)</f>
        <v>0</v>
      </c>
      <c r="S498" s="36">
        <f>IF(AG498="1",I498,0)</f>
        <v>0</v>
      </c>
      <c r="T498" s="36">
        <f>IF(AG498="7",H498,0)</f>
        <v>0</v>
      </c>
      <c r="U498" s="36">
        <f>IF(AG498="7",I498,0)</f>
        <v>0</v>
      </c>
      <c r="V498" s="36">
        <f>IF(AG498="2",H498,0)</f>
        <v>0</v>
      </c>
      <c r="W498" s="36">
        <f>IF(AG498="2",I498,0)</f>
        <v>0</v>
      </c>
      <c r="X498" s="36">
        <f>IF(AG498="0",J498,0)</f>
        <v>0</v>
      </c>
      <c r="Y498" s="29"/>
      <c r="Z498" s="20">
        <f>IF(AD498=0,J498,0)</f>
        <v>0</v>
      </c>
      <c r="AA498" s="20">
        <f>IF(AD498=15,J498,0)</f>
        <v>0</v>
      </c>
      <c r="AB498" s="20">
        <f>IF(AD498=21,J498,0)</f>
        <v>0</v>
      </c>
      <c r="AD498" s="36">
        <v>21</v>
      </c>
      <c r="AE498" s="36">
        <f>G498*0</f>
        <v>0</v>
      </c>
      <c r="AF498" s="36">
        <f>G498*(1-0)</f>
        <v>0</v>
      </c>
      <c r="AG498" s="32" t="s">
        <v>11</v>
      </c>
      <c r="AM498" s="36">
        <f>F498*AE498</f>
        <v>0</v>
      </c>
      <c r="AN498" s="36">
        <f>F498*AF498</f>
        <v>0</v>
      </c>
      <c r="AO498" s="37" t="s">
        <v>1084</v>
      </c>
      <c r="AP498" s="37" t="s">
        <v>1100</v>
      </c>
      <c r="AQ498" s="29" t="s">
        <v>1101</v>
      </c>
      <c r="AS498" s="36">
        <f>AM498+AN498</f>
        <v>0</v>
      </c>
      <c r="AT498" s="36">
        <f>G498/(100-AU498)*100</f>
        <v>0</v>
      </c>
      <c r="AU498" s="36">
        <v>0</v>
      </c>
      <c r="AV498" s="36">
        <f>L498</f>
        <v>0</v>
      </c>
    </row>
    <row r="499" spans="1:37" ht="12.75">
      <c r="A499" s="5"/>
      <c r="B499" s="13"/>
      <c r="C499" s="13" t="s">
        <v>506</v>
      </c>
      <c r="D499" s="93" t="s">
        <v>985</v>
      </c>
      <c r="E499" s="94"/>
      <c r="F499" s="94"/>
      <c r="G499" s="94"/>
      <c r="H499" s="39">
        <f>SUM(H500:H507)</f>
        <v>0</v>
      </c>
      <c r="I499" s="39">
        <f>SUM(I500:I507)</f>
        <v>0</v>
      </c>
      <c r="J499" s="39">
        <f>H499+I499</f>
        <v>0</v>
      </c>
      <c r="K499" s="29"/>
      <c r="L499" s="39">
        <f>SUM(L500:L507)</f>
        <v>0.029487621599999996</v>
      </c>
      <c r="M499" s="29"/>
      <c r="Y499" s="29"/>
      <c r="AI499" s="39">
        <f>SUM(Z500:Z507)</f>
        <v>0</v>
      </c>
      <c r="AJ499" s="39">
        <f>SUM(AA500:AA507)</f>
        <v>0</v>
      </c>
      <c r="AK499" s="39">
        <f>SUM(AB500:AB507)</f>
        <v>0</v>
      </c>
    </row>
    <row r="500" spans="1:48" ht="12.75">
      <c r="A500" s="4" t="s">
        <v>245</v>
      </c>
      <c r="B500" s="4"/>
      <c r="C500" s="4" t="s">
        <v>507</v>
      </c>
      <c r="D500" s="4" t="s">
        <v>986</v>
      </c>
      <c r="E500" s="4" t="s">
        <v>1016</v>
      </c>
      <c r="F500" s="20">
        <v>16.3758</v>
      </c>
      <c r="G500" s="20">
        <v>0</v>
      </c>
      <c r="H500" s="20">
        <f>F500*AE500</f>
        <v>0</v>
      </c>
      <c r="I500" s="20">
        <f>J500-H500</f>
        <v>0</v>
      </c>
      <c r="J500" s="20">
        <f>F500*G500</f>
        <v>0</v>
      </c>
      <c r="K500" s="20">
        <v>0.00028</v>
      </c>
      <c r="L500" s="20">
        <f>F500*K500</f>
        <v>0.004585224</v>
      </c>
      <c r="M500" s="32" t="s">
        <v>1040</v>
      </c>
      <c r="P500" s="36">
        <f>IF(AG500="5",J500,0)</f>
        <v>0</v>
      </c>
      <c r="R500" s="36">
        <f>IF(AG500="1",H500,0)</f>
        <v>0</v>
      </c>
      <c r="S500" s="36">
        <f>IF(AG500="1",I500,0)</f>
        <v>0</v>
      </c>
      <c r="T500" s="36">
        <f>IF(AG500="7",H500,0)</f>
        <v>0</v>
      </c>
      <c r="U500" s="36">
        <f>IF(AG500="7",I500,0)</f>
        <v>0</v>
      </c>
      <c r="V500" s="36">
        <f>IF(AG500="2",H500,0)</f>
        <v>0</v>
      </c>
      <c r="W500" s="36">
        <f>IF(AG500="2",I500,0)</f>
        <v>0</v>
      </c>
      <c r="X500" s="36">
        <f>IF(AG500="0",J500,0)</f>
        <v>0</v>
      </c>
      <c r="Y500" s="29"/>
      <c r="Z500" s="20">
        <f>IF(AD500=0,J500,0)</f>
        <v>0</v>
      </c>
      <c r="AA500" s="20">
        <f>IF(AD500=15,J500,0)</f>
        <v>0</v>
      </c>
      <c r="AB500" s="20">
        <f>IF(AD500=21,J500,0)</f>
        <v>0</v>
      </c>
      <c r="AD500" s="36">
        <v>21</v>
      </c>
      <c r="AE500" s="36">
        <f>G500*0.24364312267658</f>
        <v>0</v>
      </c>
      <c r="AF500" s="36">
        <f>G500*(1-0.24364312267658)</f>
        <v>0</v>
      </c>
      <c r="AG500" s="32" t="s">
        <v>13</v>
      </c>
      <c r="AM500" s="36">
        <f>F500*AE500</f>
        <v>0</v>
      </c>
      <c r="AN500" s="36">
        <f>F500*AF500</f>
        <v>0</v>
      </c>
      <c r="AO500" s="37" t="s">
        <v>1085</v>
      </c>
      <c r="AP500" s="37" t="s">
        <v>1100</v>
      </c>
      <c r="AQ500" s="29" t="s">
        <v>1101</v>
      </c>
      <c r="AS500" s="36">
        <f>AM500+AN500</f>
        <v>0</v>
      </c>
      <c r="AT500" s="36">
        <f>G500/(100-AU500)*100</f>
        <v>0</v>
      </c>
      <c r="AU500" s="36">
        <v>0</v>
      </c>
      <c r="AV500" s="36">
        <f>L500</f>
        <v>0.004585224</v>
      </c>
    </row>
    <row r="501" spans="4:6" ht="12.75">
      <c r="D501" s="17" t="s">
        <v>987</v>
      </c>
      <c r="F501" s="21">
        <v>16.3758</v>
      </c>
    </row>
    <row r="502" spans="1:48" ht="12.75">
      <c r="A502" s="4" t="s">
        <v>246</v>
      </c>
      <c r="B502" s="4"/>
      <c r="C502" s="4" t="s">
        <v>508</v>
      </c>
      <c r="D502" s="4" t="s">
        <v>988</v>
      </c>
      <c r="E502" s="4" t="s">
        <v>1016</v>
      </c>
      <c r="F502" s="20">
        <v>16.3758</v>
      </c>
      <c r="G502" s="20">
        <v>0</v>
      </c>
      <c r="H502" s="20">
        <f>F502*AE502</f>
        <v>0</v>
      </c>
      <c r="I502" s="20">
        <f>J502-H502</f>
        <v>0</v>
      </c>
      <c r="J502" s="20">
        <f>F502*G502</f>
        <v>0</v>
      </c>
      <c r="K502" s="20">
        <v>8E-05</v>
      </c>
      <c r="L502" s="20">
        <f>F502*K502</f>
        <v>0.0013100640000000003</v>
      </c>
      <c r="M502" s="32" t="s">
        <v>1040</v>
      </c>
      <c r="P502" s="36">
        <f>IF(AG502="5",J502,0)</f>
        <v>0</v>
      </c>
      <c r="R502" s="36">
        <f>IF(AG502="1",H502,0)</f>
        <v>0</v>
      </c>
      <c r="S502" s="36">
        <f>IF(AG502="1",I502,0)</f>
        <v>0</v>
      </c>
      <c r="T502" s="36">
        <f>IF(AG502="7",H502,0)</f>
        <v>0</v>
      </c>
      <c r="U502" s="36">
        <f>IF(AG502="7",I502,0)</f>
        <v>0</v>
      </c>
      <c r="V502" s="36">
        <f>IF(AG502="2",H502,0)</f>
        <v>0</v>
      </c>
      <c r="W502" s="36">
        <f>IF(AG502="2",I502,0)</f>
        <v>0</v>
      </c>
      <c r="X502" s="36">
        <f>IF(AG502="0",J502,0)</f>
        <v>0</v>
      </c>
      <c r="Y502" s="29"/>
      <c r="Z502" s="20">
        <f>IF(AD502=0,J502,0)</f>
        <v>0</v>
      </c>
      <c r="AA502" s="20">
        <f>IF(AD502=15,J502,0)</f>
        <v>0</v>
      </c>
      <c r="AB502" s="20">
        <f>IF(AD502=21,J502,0)</f>
        <v>0</v>
      </c>
      <c r="AD502" s="36">
        <v>21</v>
      </c>
      <c r="AE502" s="36">
        <f>G502*0.149453918375168</f>
        <v>0</v>
      </c>
      <c r="AF502" s="36">
        <f>G502*(1-0.149453918375168)</f>
        <v>0</v>
      </c>
      <c r="AG502" s="32" t="s">
        <v>13</v>
      </c>
      <c r="AM502" s="36">
        <f>F502*AE502</f>
        <v>0</v>
      </c>
      <c r="AN502" s="36">
        <f>F502*AF502</f>
        <v>0</v>
      </c>
      <c r="AO502" s="37" t="s">
        <v>1085</v>
      </c>
      <c r="AP502" s="37" t="s">
        <v>1100</v>
      </c>
      <c r="AQ502" s="29" t="s">
        <v>1101</v>
      </c>
      <c r="AS502" s="36">
        <f>AM502+AN502</f>
        <v>0</v>
      </c>
      <c r="AT502" s="36">
        <f>G502/(100-AU502)*100</f>
        <v>0</v>
      </c>
      <c r="AU502" s="36">
        <v>0</v>
      </c>
      <c r="AV502" s="36">
        <f>L502</f>
        <v>0.0013100640000000003</v>
      </c>
    </row>
    <row r="503" spans="1:48" ht="12.75">
      <c r="A503" s="4" t="s">
        <v>247</v>
      </c>
      <c r="B503" s="4"/>
      <c r="C503" s="4" t="s">
        <v>509</v>
      </c>
      <c r="D503" s="4" t="s">
        <v>989</v>
      </c>
      <c r="E503" s="4" t="s">
        <v>1016</v>
      </c>
      <c r="F503" s="20">
        <v>50.34474</v>
      </c>
      <c r="G503" s="20">
        <v>0</v>
      </c>
      <c r="H503" s="20">
        <f>F503*AE503</f>
        <v>0</v>
      </c>
      <c r="I503" s="20">
        <f>J503-H503</f>
        <v>0</v>
      </c>
      <c r="J503" s="20">
        <f>F503*G503</f>
        <v>0</v>
      </c>
      <c r="K503" s="20">
        <v>0.00033</v>
      </c>
      <c r="L503" s="20">
        <f>F503*K503</f>
        <v>0.0166137642</v>
      </c>
      <c r="M503" s="32" t="s">
        <v>1040</v>
      </c>
      <c r="P503" s="36">
        <f>IF(AG503="5",J503,0)</f>
        <v>0</v>
      </c>
      <c r="R503" s="36">
        <f>IF(AG503="1",H503,0)</f>
        <v>0</v>
      </c>
      <c r="S503" s="36">
        <f>IF(AG503="1",I503,0)</f>
        <v>0</v>
      </c>
      <c r="T503" s="36">
        <f>IF(AG503="7",H503,0)</f>
        <v>0</v>
      </c>
      <c r="U503" s="36">
        <f>IF(AG503="7",I503,0)</f>
        <v>0</v>
      </c>
      <c r="V503" s="36">
        <f>IF(AG503="2",H503,0)</f>
        <v>0</v>
      </c>
      <c r="W503" s="36">
        <f>IF(AG503="2",I503,0)</f>
        <v>0</v>
      </c>
      <c r="X503" s="36">
        <f>IF(AG503="0",J503,0)</f>
        <v>0</v>
      </c>
      <c r="Y503" s="29"/>
      <c r="Z503" s="20">
        <f>IF(AD503=0,J503,0)</f>
        <v>0</v>
      </c>
      <c r="AA503" s="20">
        <f>IF(AD503=15,J503,0)</f>
        <v>0</v>
      </c>
      <c r="AB503" s="20">
        <f>IF(AD503=21,J503,0)</f>
        <v>0</v>
      </c>
      <c r="AD503" s="36">
        <v>21</v>
      </c>
      <c r="AE503" s="36">
        <f>G503*0.336464379947229</f>
        <v>0</v>
      </c>
      <c r="AF503" s="36">
        <f>G503*(1-0.336464379947229)</f>
        <v>0</v>
      </c>
      <c r="AG503" s="32" t="s">
        <v>13</v>
      </c>
      <c r="AM503" s="36">
        <f>F503*AE503</f>
        <v>0</v>
      </c>
      <c r="AN503" s="36">
        <f>F503*AF503</f>
        <v>0</v>
      </c>
      <c r="AO503" s="37" t="s">
        <v>1085</v>
      </c>
      <c r="AP503" s="37" t="s">
        <v>1100</v>
      </c>
      <c r="AQ503" s="29" t="s">
        <v>1101</v>
      </c>
      <c r="AS503" s="36">
        <f>AM503+AN503</f>
        <v>0</v>
      </c>
      <c r="AT503" s="36">
        <f>G503/(100-AU503)*100</f>
        <v>0</v>
      </c>
      <c r="AU503" s="36">
        <v>0</v>
      </c>
      <c r="AV503" s="36">
        <f>L503</f>
        <v>0.0166137642</v>
      </c>
    </row>
    <row r="504" spans="3:13" ht="25.5" customHeight="1">
      <c r="C504" s="14" t="s">
        <v>255</v>
      </c>
      <c r="D504" s="91" t="s">
        <v>990</v>
      </c>
      <c r="E504" s="92"/>
      <c r="F504" s="92"/>
      <c r="G504" s="92"/>
      <c r="H504" s="92"/>
      <c r="I504" s="92"/>
      <c r="J504" s="92"/>
      <c r="K504" s="92"/>
      <c r="L504" s="92"/>
      <c r="M504" s="92"/>
    </row>
    <row r="505" spans="1:48" ht="12.75">
      <c r="A505" s="4" t="s">
        <v>248</v>
      </c>
      <c r="B505" s="4"/>
      <c r="C505" s="4" t="s">
        <v>510</v>
      </c>
      <c r="D505" s="4" t="s">
        <v>991</v>
      </c>
      <c r="E505" s="4" t="s">
        <v>1016</v>
      </c>
      <c r="F505" s="20">
        <v>9.00405</v>
      </c>
      <c r="G505" s="20">
        <v>0</v>
      </c>
      <c r="H505" s="20">
        <f>F505*AE505</f>
        <v>0</v>
      </c>
      <c r="I505" s="20">
        <f>J505-H505</f>
        <v>0</v>
      </c>
      <c r="J505" s="20">
        <f>F505*G505</f>
        <v>0</v>
      </c>
      <c r="K505" s="20">
        <v>0.00016</v>
      </c>
      <c r="L505" s="20">
        <f>F505*K505</f>
        <v>0.001440648</v>
      </c>
      <c r="M505" s="32" t="s">
        <v>1040</v>
      </c>
      <c r="P505" s="36">
        <f>IF(AG505="5",J505,0)</f>
        <v>0</v>
      </c>
      <c r="R505" s="36">
        <f>IF(AG505="1",H505,0)</f>
        <v>0</v>
      </c>
      <c r="S505" s="36">
        <f>IF(AG505="1",I505,0)</f>
        <v>0</v>
      </c>
      <c r="T505" s="36">
        <f>IF(AG505="7",H505,0)</f>
        <v>0</v>
      </c>
      <c r="U505" s="36">
        <f>IF(AG505="7",I505,0)</f>
        <v>0</v>
      </c>
      <c r="V505" s="36">
        <f>IF(AG505="2",H505,0)</f>
        <v>0</v>
      </c>
      <c r="W505" s="36">
        <f>IF(AG505="2",I505,0)</f>
        <v>0</v>
      </c>
      <c r="X505" s="36">
        <f>IF(AG505="0",J505,0)</f>
        <v>0</v>
      </c>
      <c r="Y505" s="29"/>
      <c r="Z505" s="20">
        <f>IF(AD505=0,J505,0)</f>
        <v>0</v>
      </c>
      <c r="AA505" s="20">
        <f>IF(AD505=15,J505,0)</f>
        <v>0</v>
      </c>
      <c r="AB505" s="20">
        <f>IF(AD505=21,J505,0)</f>
        <v>0</v>
      </c>
      <c r="AD505" s="36">
        <v>21</v>
      </c>
      <c r="AE505" s="36">
        <f>G505*0.157925636007828</f>
        <v>0</v>
      </c>
      <c r="AF505" s="36">
        <f>G505*(1-0.157925636007828)</f>
        <v>0</v>
      </c>
      <c r="AG505" s="32" t="s">
        <v>13</v>
      </c>
      <c r="AM505" s="36">
        <f>F505*AE505</f>
        <v>0</v>
      </c>
      <c r="AN505" s="36">
        <f>F505*AF505</f>
        <v>0</v>
      </c>
      <c r="AO505" s="37" t="s">
        <v>1085</v>
      </c>
      <c r="AP505" s="37" t="s">
        <v>1100</v>
      </c>
      <c r="AQ505" s="29" t="s">
        <v>1101</v>
      </c>
      <c r="AS505" s="36">
        <f>AM505+AN505</f>
        <v>0</v>
      </c>
      <c r="AT505" s="36">
        <f>G505/(100-AU505)*100</f>
        <v>0</v>
      </c>
      <c r="AU505" s="36">
        <v>0</v>
      </c>
      <c r="AV505" s="36">
        <f>L505</f>
        <v>0.001440648</v>
      </c>
    </row>
    <row r="506" spans="4:6" ht="12.75">
      <c r="D506" s="17" t="s">
        <v>992</v>
      </c>
      <c r="F506" s="21">
        <v>9.00405</v>
      </c>
    </row>
    <row r="507" spans="1:48" ht="12.75">
      <c r="A507" s="4" t="s">
        <v>249</v>
      </c>
      <c r="B507" s="4"/>
      <c r="C507" s="4" t="s">
        <v>511</v>
      </c>
      <c r="D507" s="4" t="s">
        <v>993</v>
      </c>
      <c r="E507" s="4" t="s">
        <v>1016</v>
      </c>
      <c r="F507" s="20">
        <v>50.34474</v>
      </c>
      <c r="G507" s="20">
        <v>0</v>
      </c>
      <c r="H507" s="20">
        <f>F507*AE507</f>
        <v>0</v>
      </c>
      <c r="I507" s="20">
        <f>J507-H507</f>
        <v>0</v>
      </c>
      <c r="J507" s="20">
        <f>F507*G507</f>
        <v>0</v>
      </c>
      <c r="K507" s="20">
        <v>0.00011</v>
      </c>
      <c r="L507" s="20">
        <f>F507*K507</f>
        <v>0.0055379214000000005</v>
      </c>
      <c r="M507" s="32" t="s">
        <v>1040</v>
      </c>
      <c r="P507" s="36">
        <f>IF(AG507="5",J507,0)</f>
        <v>0</v>
      </c>
      <c r="R507" s="36">
        <f>IF(AG507="1",H507,0)</f>
        <v>0</v>
      </c>
      <c r="S507" s="36">
        <f>IF(AG507="1",I507,0)</f>
        <v>0</v>
      </c>
      <c r="T507" s="36">
        <f>IF(AG507="7",H507,0)</f>
        <v>0</v>
      </c>
      <c r="U507" s="36">
        <f>IF(AG507="7",I507,0)</f>
        <v>0</v>
      </c>
      <c r="V507" s="36">
        <f>IF(AG507="2",H507,0)</f>
        <v>0</v>
      </c>
      <c r="W507" s="36">
        <f>IF(AG507="2",I507,0)</f>
        <v>0</v>
      </c>
      <c r="X507" s="36">
        <f>IF(AG507="0",J507,0)</f>
        <v>0</v>
      </c>
      <c r="Y507" s="29"/>
      <c r="Z507" s="20">
        <f>IF(AD507=0,J507,0)</f>
        <v>0</v>
      </c>
      <c r="AA507" s="20">
        <f>IF(AD507=15,J507,0)</f>
        <v>0</v>
      </c>
      <c r="AB507" s="20">
        <f>IF(AD507=21,J507,0)</f>
        <v>0</v>
      </c>
      <c r="AD507" s="36">
        <v>21</v>
      </c>
      <c r="AE507" s="36">
        <f>G507*0.152084115659031</f>
        <v>0</v>
      </c>
      <c r="AF507" s="36">
        <f>G507*(1-0.152084115659031)</f>
        <v>0</v>
      </c>
      <c r="AG507" s="32" t="s">
        <v>13</v>
      </c>
      <c r="AM507" s="36">
        <f>F507*AE507</f>
        <v>0</v>
      </c>
      <c r="AN507" s="36">
        <f>F507*AF507</f>
        <v>0</v>
      </c>
      <c r="AO507" s="37" t="s">
        <v>1085</v>
      </c>
      <c r="AP507" s="37" t="s">
        <v>1100</v>
      </c>
      <c r="AQ507" s="29" t="s">
        <v>1101</v>
      </c>
      <c r="AS507" s="36">
        <f>AM507+AN507</f>
        <v>0</v>
      </c>
      <c r="AT507" s="36">
        <f>G507/(100-AU507)*100</f>
        <v>0</v>
      </c>
      <c r="AU507" s="36">
        <v>0</v>
      </c>
      <c r="AV507" s="36">
        <f>L507</f>
        <v>0.0055379214000000005</v>
      </c>
    </row>
    <row r="508" spans="3:13" ht="12.75">
      <c r="C508" s="14" t="s">
        <v>255</v>
      </c>
      <c r="D508" s="91" t="s">
        <v>994</v>
      </c>
      <c r="E508" s="92"/>
      <c r="F508" s="92"/>
      <c r="G508" s="92"/>
      <c r="H508" s="92"/>
      <c r="I508" s="92"/>
      <c r="J508" s="92"/>
      <c r="K508" s="92"/>
      <c r="L508" s="92"/>
      <c r="M508" s="92"/>
    </row>
    <row r="509" spans="1:37" ht="12.75">
      <c r="A509" s="5"/>
      <c r="B509" s="13"/>
      <c r="C509" s="13" t="s">
        <v>512</v>
      </c>
      <c r="D509" s="93" t="s">
        <v>995</v>
      </c>
      <c r="E509" s="94"/>
      <c r="F509" s="94"/>
      <c r="G509" s="94"/>
      <c r="H509" s="39">
        <f>SUM(H510:H515)</f>
        <v>0</v>
      </c>
      <c r="I509" s="39">
        <f>SUM(I510:I515)</f>
        <v>0</v>
      </c>
      <c r="J509" s="39">
        <f>H509+I509</f>
        <v>0</v>
      </c>
      <c r="K509" s="29"/>
      <c r="L509" s="39">
        <f>SUM(L510:L515)</f>
        <v>0.27074192</v>
      </c>
      <c r="M509" s="29"/>
      <c r="Y509" s="29"/>
      <c r="AI509" s="39">
        <f>SUM(Z510:Z515)</f>
        <v>0</v>
      </c>
      <c r="AJ509" s="39">
        <f>SUM(AA510:AA515)</f>
        <v>0</v>
      </c>
      <c r="AK509" s="39">
        <f>SUM(AB510:AB515)</f>
        <v>0</v>
      </c>
    </row>
    <row r="510" spans="1:48" ht="12.75">
      <c r="A510" s="4" t="s">
        <v>250</v>
      </c>
      <c r="B510" s="4"/>
      <c r="C510" s="4" t="s">
        <v>513</v>
      </c>
      <c r="D510" s="4" t="s">
        <v>996</v>
      </c>
      <c r="E510" s="4" t="s">
        <v>1016</v>
      </c>
      <c r="F510" s="20">
        <v>360.758</v>
      </c>
      <c r="G510" s="20">
        <v>0</v>
      </c>
      <c r="H510" s="20">
        <f>F510*AE510</f>
        <v>0</v>
      </c>
      <c r="I510" s="20">
        <f>J510-H510</f>
        <v>0</v>
      </c>
      <c r="J510" s="20">
        <f>F510*G510</f>
        <v>0</v>
      </c>
      <c r="K510" s="20">
        <v>0.00064</v>
      </c>
      <c r="L510" s="20">
        <f>F510*K510</f>
        <v>0.23088512</v>
      </c>
      <c r="M510" s="32" t="s">
        <v>1040</v>
      </c>
      <c r="P510" s="36">
        <f>IF(AG510="5",J510,0)</f>
        <v>0</v>
      </c>
      <c r="R510" s="36">
        <f>IF(AG510="1",H510,0)</f>
        <v>0</v>
      </c>
      <c r="S510" s="36">
        <f>IF(AG510="1",I510,0)</f>
        <v>0</v>
      </c>
      <c r="T510" s="36">
        <f>IF(AG510="7",H510,0)</f>
        <v>0</v>
      </c>
      <c r="U510" s="36">
        <f>IF(AG510="7",I510,0)</f>
        <v>0</v>
      </c>
      <c r="V510" s="36">
        <f>IF(AG510="2",H510,0)</f>
        <v>0</v>
      </c>
      <c r="W510" s="36">
        <f>IF(AG510="2",I510,0)</f>
        <v>0</v>
      </c>
      <c r="X510" s="36">
        <f>IF(AG510="0",J510,0)</f>
        <v>0</v>
      </c>
      <c r="Y510" s="29"/>
      <c r="Z510" s="20">
        <f>IF(AD510=0,J510,0)</f>
        <v>0</v>
      </c>
      <c r="AA510" s="20">
        <f>IF(AD510=15,J510,0)</f>
        <v>0</v>
      </c>
      <c r="AB510" s="20">
        <f>IF(AD510=21,J510,0)</f>
        <v>0</v>
      </c>
      <c r="AD510" s="36">
        <v>21</v>
      </c>
      <c r="AE510" s="36">
        <f>G510*0.271341937490281</f>
        <v>0</v>
      </c>
      <c r="AF510" s="36">
        <f>G510*(1-0.271341937490281)</f>
        <v>0</v>
      </c>
      <c r="AG510" s="32" t="s">
        <v>13</v>
      </c>
      <c r="AM510" s="36">
        <f>F510*AE510</f>
        <v>0</v>
      </c>
      <c r="AN510" s="36">
        <f>F510*AF510</f>
        <v>0</v>
      </c>
      <c r="AO510" s="37" t="s">
        <v>1086</v>
      </c>
      <c r="AP510" s="37" t="s">
        <v>1100</v>
      </c>
      <c r="AQ510" s="29" t="s">
        <v>1101</v>
      </c>
      <c r="AS510" s="36">
        <f>AM510+AN510</f>
        <v>0</v>
      </c>
      <c r="AT510" s="36">
        <f>G510/(100-AU510)*100</f>
        <v>0</v>
      </c>
      <c r="AU510" s="36">
        <v>0</v>
      </c>
      <c r="AV510" s="36">
        <f>L510</f>
        <v>0.23088512</v>
      </c>
    </row>
    <row r="511" spans="4:6" ht="12.75">
      <c r="D511" s="17" t="s">
        <v>997</v>
      </c>
      <c r="F511" s="21">
        <v>278.616</v>
      </c>
    </row>
    <row r="512" spans="4:6" ht="12.75">
      <c r="D512" s="17" t="s">
        <v>998</v>
      </c>
      <c r="F512" s="21">
        <v>60.552</v>
      </c>
    </row>
    <row r="513" spans="4:6" ht="12.75">
      <c r="D513" s="17" t="s">
        <v>999</v>
      </c>
      <c r="F513" s="21">
        <v>21.59</v>
      </c>
    </row>
    <row r="514" spans="3:13" ht="12.75">
      <c r="C514" s="14" t="s">
        <v>255</v>
      </c>
      <c r="D514" s="91" t="s">
        <v>1000</v>
      </c>
      <c r="E514" s="92"/>
      <c r="F514" s="92"/>
      <c r="G514" s="92"/>
      <c r="H514" s="92"/>
      <c r="I514" s="92"/>
      <c r="J514" s="92"/>
      <c r="K514" s="92"/>
      <c r="L514" s="92"/>
      <c r="M514" s="92"/>
    </row>
    <row r="515" spans="1:48" ht="12.75">
      <c r="A515" s="4" t="s">
        <v>251</v>
      </c>
      <c r="B515" s="4"/>
      <c r="C515" s="4" t="s">
        <v>514</v>
      </c>
      <c r="D515" s="4" t="s">
        <v>996</v>
      </c>
      <c r="E515" s="4" t="s">
        <v>1016</v>
      </c>
      <c r="F515" s="20">
        <v>124.5525</v>
      </c>
      <c r="G515" s="20">
        <v>0</v>
      </c>
      <c r="H515" s="20">
        <f>F515*AE515</f>
        <v>0</v>
      </c>
      <c r="I515" s="20">
        <f>J515-H515</f>
        <v>0</v>
      </c>
      <c r="J515" s="20">
        <f>F515*G515</f>
        <v>0</v>
      </c>
      <c r="K515" s="20">
        <v>0.00032</v>
      </c>
      <c r="L515" s="20">
        <f>F515*K515</f>
        <v>0.039856800000000005</v>
      </c>
      <c r="M515" s="32" t="s">
        <v>1040</v>
      </c>
      <c r="P515" s="36">
        <f>IF(AG515="5",J515,0)</f>
        <v>0</v>
      </c>
      <c r="R515" s="36">
        <f>IF(AG515="1",H515,0)</f>
        <v>0</v>
      </c>
      <c r="S515" s="36">
        <f>IF(AG515="1",I515,0)</f>
        <v>0</v>
      </c>
      <c r="T515" s="36">
        <f>IF(AG515="7",H515,0)</f>
        <v>0</v>
      </c>
      <c r="U515" s="36">
        <f>IF(AG515="7",I515,0)</f>
        <v>0</v>
      </c>
      <c r="V515" s="36">
        <f>IF(AG515="2",H515,0)</f>
        <v>0</v>
      </c>
      <c r="W515" s="36">
        <f>IF(AG515="2",I515,0)</f>
        <v>0</v>
      </c>
      <c r="X515" s="36">
        <f>IF(AG515="0",J515,0)</f>
        <v>0</v>
      </c>
      <c r="Y515" s="29"/>
      <c r="Z515" s="20">
        <f>IF(AD515=0,J515,0)</f>
        <v>0</v>
      </c>
      <c r="AA515" s="20">
        <f>IF(AD515=15,J515,0)</f>
        <v>0</v>
      </c>
      <c r="AB515" s="20">
        <f>IF(AD515=21,J515,0)</f>
        <v>0</v>
      </c>
      <c r="AD515" s="36">
        <v>21</v>
      </c>
      <c r="AE515" s="36">
        <f>G515*0.20150145026446</f>
        <v>0</v>
      </c>
      <c r="AF515" s="36">
        <f>G515*(1-0.20150145026446)</f>
        <v>0</v>
      </c>
      <c r="AG515" s="32" t="s">
        <v>13</v>
      </c>
      <c r="AM515" s="36">
        <f>F515*AE515</f>
        <v>0</v>
      </c>
      <c r="AN515" s="36">
        <f>F515*AF515</f>
        <v>0</v>
      </c>
      <c r="AO515" s="37" t="s">
        <v>1086</v>
      </c>
      <c r="AP515" s="37" t="s">
        <v>1100</v>
      </c>
      <c r="AQ515" s="29" t="s">
        <v>1101</v>
      </c>
      <c r="AS515" s="36">
        <f>AM515+AN515</f>
        <v>0</v>
      </c>
      <c r="AT515" s="36">
        <f>G515/(100-AU515)*100</f>
        <v>0</v>
      </c>
      <c r="AU515" s="36">
        <v>0</v>
      </c>
      <c r="AV515" s="36">
        <f>L515</f>
        <v>0.039856800000000005</v>
      </c>
    </row>
    <row r="516" spans="3:13" ht="12.75">
      <c r="C516" s="14" t="s">
        <v>255</v>
      </c>
      <c r="D516" s="91" t="s">
        <v>1001</v>
      </c>
      <c r="E516" s="92"/>
      <c r="F516" s="92"/>
      <c r="G516" s="92"/>
      <c r="H516" s="92"/>
      <c r="I516" s="92"/>
      <c r="J516" s="92"/>
      <c r="K516" s="92"/>
      <c r="L516" s="92"/>
      <c r="M516" s="92"/>
    </row>
    <row r="517" spans="1:37" ht="12.75">
      <c r="A517" s="5"/>
      <c r="B517" s="13"/>
      <c r="C517" s="13" t="s">
        <v>515</v>
      </c>
      <c r="D517" s="93" t="s">
        <v>1002</v>
      </c>
      <c r="E517" s="94"/>
      <c r="F517" s="94"/>
      <c r="G517" s="94"/>
      <c r="H517" s="39">
        <f>SUM(H518:H518)</f>
        <v>0</v>
      </c>
      <c r="I517" s="39">
        <f>SUM(I518:I518)</f>
        <v>0</v>
      </c>
      <c r="J517" s="39">
        <f>H517+I517</f>
        <v>0</v>
      </c>
      <c r="K517" s="29"/>
      <c r="L517" s="39">
        <f>SUM(L518:L518)</f>
        <v>0</v>
      </c>
      <c r="M517" s="29"/>
      <c r="Y517" s="29"/>
      <c r="AI517" s="39">
        <f>SUM(Z518:Z518)</f>
        <v>0</v>
      </c>
      <c r="AJ517" s="39">
        <f>SUM(AA518:AA518)</f>
        <v>0</v>
      </c>
      <c r="AK517" s="39">
        <f>SUM(AB518:AB518)</f>
        <v>0</v>
      </c>
    </row>
    <row r="518" spans="1:48" ht="12.75">
      <c r="A518" s="4" t="s">
        <v>252</v>
      </c>
      <c r="B518" s="4"/>
      <c r="C518" s="4" t="s">
        <v>516</v>
      </c>
      <c r="D518" s="4" t="s">
        <v>1003</v>
      </c>
      <c r="E518" s="4" t="s">
        <v>1020</v>
      </c>
      <c r="F518" s="20">
        <v>0</v>
      </c>
      <c r="G518" s="20">
        <v>0</v>
      </c>
      <c r="H518" s="20">
        <f>F518*AE518</f>
        <v>0</v>
      </c>
      <c r="I518" s="20">
        <f>J518-H518</f>
        <v>0</v>
      </c>
      <c r="J518" s="20">
        <f>F518*G518</f>
        <v>0</v>
      </c>
      <c r="K518" s="20">
        <v>0</v>
      </c>
      <c r="L518" s="20">
        <f>F518*K518</f>
        <v>0</v>
      </c>
      <c r="M518" s="32"/>
      <c r="P518" s="36">
        <f>IF(AG518="5",J518,0)</f>
        <v>0</v>
      </c>
      <c r="R518" s="36">
        <f>IF(AG518="1",H518,0)</f>
        <v>0</v>
      </c>
      <c r="S518" s="36">
        <f>IF(AG518="1",I518,0)</f>
        <v>0</v>
      </c>
      <c r="T518" s="36">
        <f>IF(AG518="7",H518,0)</f>
        <v>0</v>
      </c>
      <c r="U518" s="36">
        <f>IF(AG518="7",I518,0)</f>
        <v>0</v>
      </c>
      <c r="V518" s="36">
        <f>IF(AG518="2",H518,0)</f>
        <v>0</v>
      </c>
      <c r="W518" s="36">
        <f>IF(AG518="2",I518,0)</f>
        <v>0</v>
      </c>
      <c r="X518" s="36">
        <f>IF(AG518="0",J518,0)</f>
        <v>0</v>
      </c>
      <c r="Y518" s="29"/>
      <c r="Z518" s="20">
        <f>IF(AD518=0,J518,0)</f>
        <v>0</v>
      </c>
      <c r="AA518" s="20">
        <f>IF(AD518=15,J518,0)</f>
        <v>0</v>
      </c>
      <c r="AB518" s="20">
        <f>IF(AD518=21,J518,0)</f>
        <v>0</v>
      </c>
      <c r="AD518" s="36">
        <v>21</v>
      </c>
      <c r="AE518" s="36">
        <f>G518*0</f>
        <v>0</v>
      </c>
      <c r="AF518" s="36">
        <f>G518*(1-0)</f>
        <v>0</v>
      </c>
      <c r="AG518" s="32" t="s">
        <v>8</v>
      </c>
      <c r="AM518" s="36">
        <f>F518*AE518</f>
        <v>0</v>
      </c>
      <c r="AN518" s="36">
        <f>F518*AF518</f>
        <v>0</v>
      </c>
      <c r="AO518" s="37" t="s">
        <v>1087</v>
      </c>
      <c r="AP518" s="37" t="s">
        <v>1095</v>
      </c>
      <c r="AQ518" s="29" t="s">
        <v>1101</v>
      </c>
      <c r="AS518" s="36">
        <f>AM518+AN518</f>
        <v>0</v>
      </c>
      <c r="AT518" s="36">
        <f>G518/(100-AU518)*100</f>
        <v>0</v>
      </c>
      <c r="AU518" s="36">
        <v>0</v>
      </c>
      <c r="AV518" s="36">
        <f>L518</f>
        <v>0</v>
      </c>
    </row>
    <row r="519" spans="3:13" ht="12.75">
      <c r="C519" s="14" t="s">
        <v>255</v>
      </c>
      <c r="D519" s="91" t="s">
        <v>637</v>
      </c>
      <c r="E519" s="92"/>
      <c r="F519" s="92"/>
      <c r="G519" s="92"/>
      <c r="H519" s="92"/>
      <c r="I519" s="92"/>
      <c r="J519" s="92"/>
      <c r="K519" s="92"/>
      <c r="L519" s="92"/>
      <c r="M519" s="92"/>
    </row>
    <row r="520" spans="1:37" ht="12.75">
      <c r="A520" s="5"/>
      <c r="B520" s="13"/>
      <c r="C520" s="13" t="s">
        <v>517</v>
      </c>
      <c r="D520" s="93" t="s">
        <v>1004</v>
      </c>
      <c r="E520" s="94"/>
      <c r="F520" s="94"/>
      <c r="G520" s="94"/>
      <c r="H520" s="39">
        <f>SUM(H521:H523)</f>
        <v>0</v>
      </c>
      <c r="I520" s="39">
        <f>SUM(I521:I523)</f>
        <v>0</v>
      </c>
      <c r="J520" s="39">
        <f>H520+I520</f>
        <v>0</v>
      </c>
      <c r="K520" s="29"/>
      <c r="L520" s="39">
        <f>SUM(L521:L523)</f>
        <v>0</v>
      </c>
      <c r="M520" s="29"/>
      <c r="Y520" s="29"/>
      <c r="AI520" s="39">
        <f>SUM(Z521:Z523)</f>
        <v>0</v>
      </c>
      <c r="AJ520" s="39">
        <f>SUM(AA521:AA523)</f>
        <v>0</v>
      </c>
      <c r="AK520" s="39">
        <f>SUM(AB521:AB523)</f>
        <v>0</v>
      </c>
    </row>
    <row r="521" spans="1:48" ht="12.75">
      <c r="A521" s="4" t="s">
        <v>253</v>
      </c>
      <c r="B521" s="4"/>
      <c r="C521" s="4" t="s">
        <v>518</v>
      </c>
      <c r="D521" s="4" t="s">
        <v>1005</v>
      </c>
      <c r="E521" s="4" t="s">
        <v>1020</v>
      </c>
      <c r="F521" s="20">
        <v>0</v>
      </c>
      <c r="G521" s="20">
        <v>0</v>
      </c>
      <c r="H521" s="20">
        <f>F521*AE521</f>
        <v>0</v>
      </c>
      <c r="I521" s="20">
        <f>J521-H521</f>
        <v>0</v>
      </c>
      <c r="J521" s="20">
        <f>F521*G521</f>
        <v>0</v>
      </c>
      <c r="K521" s="20">
        <v>0</v>
      </c>
      <c r="L521" s="20">
        <f>F521*K521</f>
        <v>0</v>
      </c>
      <c r="M521" s="32"/>
      <c r="P521" s="36">
        <f>IF(AG521="5",J521,0)</f>
        <v>0</v>
      </c>
      <c r="R521" s="36">
        <f>IF(AG521="1",H521,0)</f>
        <v>0</v>
      </c>
      <c r="S521" s="36">
        <f>IF(AG521="1",I521,0)</f>
        <v>0</v>
      </c>
      <c r="T521" s="36">
        <f>IF(AG521="7",H521,0)</f>
        <v>0</v>
      </c>
      <c r="U521" s="36">
        <f>IF(AG521="7",I521,0)</f>
        <v>0</v>
      </c>
      <c r="V521" s="36">
        <f>IF(AG521="2",H521,0)</f>
        <v>0</v>
      </c>
      <c r="W521" s="36">
        <f>IF(AG521="2",I521,0)</f>
        <v>0</v>
      </c>
      <c r="X521" s="36">
        <f>IF(AG521="0",J521,0)</f>
        <v>0</v>
      </c>
      <c r="Y521" s="29"/>
      <c r="Z521" s="20">
        <f>IF(AD521=0,J521,0)</f>
        <v>0</v>
      </c>
      <c r="AA521" s="20">
        <f>IF(AD521=15,J521,0)</f>
        <v>0</v>
      </c>
      <c r="AB521" s="20">
        <f>IF(AD521=21,J521,0)</f>
        <v>0</v>
      </c>
      <c r="AD521" s="36">
        <v>21</v>
      </c>
      <c r="AE521" s="36">
        <f>G521*0</f>
        <v>0</v>
      </c>
      <c r="AF521" s="36">
        <f>G521*(1-0)</f>
        <v>0</v>
      </c>
      <c r="AG521" s="32" t="s">
        <v>8</v>
      </c>
      <c r="AM521" s="36">
        <f>F521*AE521</f>
        <v>0</v>
      </c>
      <c r="AN521" s="36">
        <f>F521*AF521</f>
        <v>0</v>
      </c>
      <c r="AO521" s="37" t="s">
        <v>1088</v>
      </c>
      <c r="AP521" s="37" t="s">
        <v>1095</v>
      </c>
      <c r="AQ521" s="29" t="s">
        <v>1101</v>
      </c>
      <c r="AS521" s="36">
        <f>AM521+AN521</f>
        <v>0</v>
      </c>
      <c r="AT521" s="36">
        <f>G521/(100-AU521)*100</f>
        <v>0</v>
      </c>
      <c r="AU521" s="36">
        <v>0</v>
      </c>
      <c r="AV521" s="36">
        <f>L521</f>
        <v>0</v>
      </c>
    </row>
    <row r="522" spans="3:13" ht="12.75">
      <c r="C522" s="14" t="s">
        <v>255</v>
      </c>
      <c r="D522" s="91" t="s">
        <v>637</v>
      </c>
      <c r="E522" s="92"/>
      <c r="F522" s="92"/>
      <c r="G522" s="92"/>
      <c r="H522" s="92"/>
      <c r="I522" s="92"/>
      <c r="J522" s="92"/>
      <c r="K522" s="92"/>
      <c r="L522" s="92"/>
      <c r="M522" s="92"/>
    </row>
    <row r="523" spans="1:48" ht="12.75">
      <c r="A523" s="4" t="s">
        <v>254</v>
      </c>
      <c r="B523" s="4"/>
      <c r="C523" s="4" t="s">
        <v>519</v>
      </c>
      <c r="D523" s="4" t="s">
        <v>1006</v>
      </c>
      <c r="E523" s="4" t="s">
        <v>1022</v>
      </c>
      <c r="F523" s="20">
        <v>0</v>
      </c>
      <c r="G523" s="20">
        <v>0</v>
      </c>
      <c r="H523" s="20">
        <f>F523*AE523</f>
        <v>0</v>
      </c>
      <c r="I523" s="20">
        <f>J523-H523</f>
        <v>0</v>
      </c>
      <c r="J523" s="20">
        <f>F523*G523</f>
        <v>0</v>
      </c>
      <c r="K523" s="20">
        <v>0</v>
      </c>
      <c r="L523" s="20">
        <f>F523*K523</f>
        <v>0</v>
      </c>
      <c r="M523" s="32"/>
      <c r="P523" s="36">
        <f>IF(AG523="5",J523,0)</f>
        <v>0</v>
      </c>
      <c r="R523" s="36">
        <f>IF(AG523="1",H523,0)</f>
        <v>0</v>
      </c>
      <c r="S523" s="36">
        <f>IF(AG523="1",I523,0)</f>
        <v>0</v>
      </c>
      <c r="T523" s="36">
        <f>IF(AG523="7",H523,0)</f>
        <v>0</v>
      </c>
      <c r="U523" s="36">
        <f>IF(AG523="7",I523,0)</f>
        <v>0</v>
      </c>
      <c r="V523" s="36">
        <f>IF(AG523="2",H523,0)</f>
        <v>0</v>
      </c>
      <c r="W523" s="36">
        <f>IF(AG523="2",I523,0)</f>
        <v>0</v>
      </c>
      <c r="X523" s="36">
        <f>IF(AG523="0",J523,0)</f>
        <v>0</v>
      </c>
      <c r="Y523" s="29"/>
      <c r="Z523" s="20">
        <f>IF(AD523=0,J523,0)</f>
        <v>0</v>
      </c>
      <c r="AA523" s="20">
        <f>IF(AD523=15,J523,0)</f>
        <v>0</v>
      </c>
      <c r="AB523" s="20">
        <f>IF(AD523=21,J523,0)</f>
        <v>0</v>
      </c>
      <c r="AD523" s="36">
        <v>21</v>
      </c>
      <c r="AE523" s="36">
        <f>G523*0</f>
        <v>0</v>
      </c>
      <c r="AF523" s="36">
        <f>G523*(1-0)</f>
        <v>0</v>
      </c>
      <c r="AG523" s="32" t="s">
        <v>8</v>
      </c>
      <c r="AM523" s="36">
        <f>F523*AE523</f>
        <v>0</v>
      </c>
      <c r="AN523" s="36">
        <f>F523*AF523</f>
        <v>0</v>
      </c>
      <c r="AO523" s="37" t="s">
        <v>1088</v>
      </c>
      <c r="AP523" s="37" t="s">
        <v>1095</v>
      </c>
      <c r="AQ523" s="29" t="s">
        <v>1101</v>
      </c>
      <c r="AS523" s="36">
        <f>AM523+AN523</f>
        <v>0</v>
      </c>
      <c r="AT523" s="36">
        <f>G523/(100-AU523)*100</f>
        <v>0</v>
      </c>
      <c r="AU523" s="36">
        <v>0</v>
      </c>
      <c r="AV523" s="36">
        <f>L523</f>
        <v>0</v>
      </c>
    </row>
    <row r="524" spans="4:6" ht="12.75">
      <c r="D524" s="17" t="s">
        <v>1007</v>
      </c>
      <c r="F524" s="21">
        <v>0</v>
      </c>
    </row>
    <row r="525" spans="1:13" ht="25.5" customHeight="1">
      <c r="A525" s="7"/>
      <c r="B525" s="7"/>
      <c r="C525" s="15" t="s">
        <v>255</v>
      </c>
      <c r="D525" s="95" t="s">
        <v>1008</v>
      </c>
      <c r="E525" s="96"/>
      <c r="F525" s="96"/>
      <c r="G525" s="96"/>
      <c r="H525" s="96"/>
      <c r="I525" s="96"/>
      <c r="J525" s="96"/>
      <c r="K525" s="96"/>
      <c r="L525" s="96"/>
      <c r="M525" s="96"/>
    </row>
    <row r="526" spans="1:13" ht="12.75">
      <c r="A526" s="8"/>
      <c r="B526" s="8"/>
      <c r="C526" s="8"/>
      <c r="D526" s="8"/>
      <c r="E526" s="8"/>
      <c r="F526" s="8"/>
      <c r="G526" s="8"/>
      <c r="H526" s="97" t="s">
        <v>1029</v>
      </c>
      <c r="I526" s="98"/>
      <c r="J526" s="40">
        <f>J12+J18+J27+J32+J48+J56+J69+J90+J96+J104+J120+J127+J130+J133+J145+J157+J171+J193+J199+J202+J210+J215+J219+J240+J264+J291+J318+J348+J352+J368+J390+J418+J457+J478+J483+J499+J509+J517+J520</f>
        <v>0</v>
      </c>
      <c r="K526" s="8"/>
      <c r="L526" s="8"/>
      <c r="M526" s="8"/>
    </row>
    <row r="527" ht="11.25" customHeight="1">
      <c r="A527" s="9" t="s">
        <v>255</v>
      </c>
    </row>
    <row r="528" spans="1:13" ht="409.5" customHeight="1" hidden="1">
      <c r="A528" s="80"/>
      <c r="B528" s="72"/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</row>
  </sheetData>
  <sheetProtection/>
  <mergeCells count="127">
    <mergeCell ref="D519:M519"/>
    <mergeCell ref="D520:G520"/>
    <mergeCell ref="D522:M522"/>
    <mergeCell ref="D525:M525"/>
    <mergeCell ref="H526:I526"/>
    <mergeCell ref="A528:M528"/>
    <mergeCell ref="D504:M504"/>
    <mergeCell ref="D508:M508"/>
    <mergeCell ref="D509:G509"/>
    <mergeCell ref="D514:M514"/>
    <mergeCell ref="D516:M516"/>
    <mergeCell ref="D517:G517"/>
    <mergeCell ref="D459:M459"/>
    <mergeCell ref="D476:M476"/>
    <mergeCell ref="D478:G478"/>
    <mergeCell ref="D481:M481"/>
    <mergeCell ref="D483:G483"/>
    <mergeCell ref="D499:G499"/>
    <mergeCell ref="D428:M428"/>
    <mergeCell ref="D430:M430"/>
    <mergeCell ref="D434:M434"/>
    <mergeCell ref="D451:M451"/>
    <mergeCell ref="D453:M453"/>
    <mergeCell ref="D457:G457"/>
    <mergeCell ref="D377:M377"/>
    <mergeCell ref="D380:M380"/>
    <mergeCell ref="D383:M383"/>
    <mergeCell ref="D390:G390"/>
    <mergeCell ref="D397:M397"/>
    <mergeCell ref="D418:G418"/>
    <mergeCell ref="D352:G352"/>
    <mergeCell ref="D358:M358"/>
    <mergeCell ref="D360:M360"/>
    <mergeCell ref="D368:G368"/>
    <mergeCell ref="D371:M371"/>
    <mergeCell ref="D374:M374"/>
    <mergeCell ref="D325:M325"/>
    <mergeCell ref="D327:M327"/>
    <mergeCell ref="D330:M330"/>
    <mergeCell ref="D344:M344"/>
    <mergeCell ref="D348:G348"/>
    <mergeCell ref="D350:M350"/>
    <mergeCell ref="D250:M250"/>
    <mergeCell ref="D264:G264"/>
    <mergeCell ref="D277:M277"/>
    <mergeCell ref="D291:G291"/>
    <mergeCell ref="D316:M316"/>
    <mergeCell ref="D318:G318"/>
    <mergeCell ref="D226:M226"/>
    <mergeCell ref="D230:M230"/>
    <mergeCell ref="D233:M233"/>
    <mergeCell ref="D240:G240"/>
    <mergeCell ref="D245:M245"/>
    <mergeCell ref="D247:M247"/>
    <mergeCell ref="D201:M201"/>
    <mergeCell ref="D202:G202"/>
    <mergeCell ref="D210:G210"/>
    <mergeCell ref="D215:G215"/>
    <mergeCell ref="D218:M218"/>
    <mergeCell ref="D219:G219"/>
    <mergeCell ref="D174:M174"/>
    <mergeCell ref="D183:M183"/>
    <mergeCell ref="D187:M187"/>
    <mergeCell ref="D190:M190"/>
    <mergeCell ref="D193:G193"/>
    <mergeCell ref="D199:G199"/>
    <mergeCell ref="D156:M156"/>
    <mergeCell ref="D157:G157"/>
    <mergeCell ref="D165:M165"/>
    <mergeCell ref="D167:M167"/>
    <mergeCell ref="D170:M170"/>
    <mergeCell ref="D171:G171"/>
    <mergeCell ref="D130:G130"/>
    <mergeCell ref="D132:M132"/>
    <mergeCell ref="D133:G133"/>
    <mergeCell ref="D141:M141"/>
    <mergeCell ref="D144:M144"/>
    <mergeCell ref="D145:G145"/>
    <mergeCell ref="D104:G104"/>
    <mergeCell ref="D112:M112"/>
    <mergeCell ref="D120:G120"/>
    <mergeCell ref="D123:M123"/>
    <mergeCell ref="D126:M126"/>
    <mergeCell ref="D127:G127"/>
    <mergeCell ref="D62:M62"/>
    <mergeCell ref="D65:M65"/>
    <mergeCell ref="D69:G69"/>
    <mergeCell ref="D85:M85"/>
    <mergeCell ref="D90:G90"/>
    <mergeCell ref="D96:G96"/>
    <mergeCell ref="D32:G32"/>
    <mergeCell ref="D35:M35"/>
    <mergeCell ref="D38:M38"/>
    <mergeCell ref="D43:M43"/>
    <mergeCell ref="D48:G48"/>
    <mergeCell ref="D56:G56"/>
    <mergeCell ref="H10:J10"/>
    <mergeCell ref="K10:L10"/>
    <mergeCell ref="D12:G12"/>
    <mergeCell ref="D17:M17"/>
    <mergeCell ref="D18:G18"/>
    <mergeCell ref="D27:G27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67" t="s">
        <v>1102</v>
      </c>
      <c r="B1" s="68"/>
      <c r="C1" s="68"/>
      <c r="D1" s="68"/>
      <c r="E1" s="68"/>
      <c r="F1" s="68"/>
      <c r="G1" s="68"/>
    </row>
    <row r="2" spans="1:8" ht="12.75">
      <c r="A2" s="69" t="s">
        <v>1</v>
      </c>
      <c r="B2" s="73" t="s">
        <v>520</v>
      </c>
      <c r="C2" s="98"/>
      <c r="D2" s="76" t="s">
        <v>1030</v>
      </c>
      <c r="E2" s="76"/>
      <c r="F2" s="70"/>
      <c r="G2" s="77"/>
      <c r="H2" s="34"/>
    </row>
    <row r="3" spans="1:8" ht="12.75">
      <c r="A3" s="71"/>
      <c r="B3" s="74"/>
      <c r="C3" s="74"/>
      <c r="D3" s="72"/>
      <c r="E3" s="72"/>
      <c r="F3" s="72"/>
      <c r="G3" s="78"/>
      <c r="H3" s="34"/>
    </row>
    <row r="4" spans="1:8" ht="12.75">
      <c r="A4" s="79" t="s">
        <v>2</v>
      </c>
      <c r="B4" s="80" t="s">
        <v>521</v>
      </c>
      <c r="C4" s="72"/>
      <c r="D4" s="80" t="s">
        <v>1031</v>
      </c>
      <c r="E4" s="80" t="s">
        <v>1035</v>
      </c>
      <c r="F4" s="72"/>
      <c r="G4" s="78"/>
      <c r="H4" s="34"/>
    </row>
    <row r="5" spans="1:8" ht="12.75">
      <c r="A5" s="71"/>
      <c r="B5" s="72"/>
      <c r="C5" s="72"/>
      <c r="D5" s="72"/>
      <c r="E5" s="72"/>
      <c r="F5" s="72"/>
      <c r="G5" s="78"/>
      <c r="H5" s="34"/>
    </row>
    <row r="6" spans="1:8" ht="12.75">
      <c r="A6" s="79" t="s">
        <v>3</v>
      </c>
      <c r="B6" s="80" t="s">
        <v>522</v>
      </c>
      <c r="C6" s="72"/>
      <c r="D6" s="80" t="s">
        <v>1032</v>
      </c>
      <c r="E6" s="80"/>
      <c r="F6" s="72"/>
      <c r="G6" s="78"/>
      <c r="H6" s="34"/>
    </row>
    <row r="7" spans="1:8" ht="12.75">
      <c r="A7" s="71"/>
      <c r="B7" s="72"/>
      <c r="C7" s="72"/>
      <c r="D7" s="72"/>
      <c r="E7" s="72"/>
      <c r="F7" s="72"/>
      <c r="G7" s="78"/>
      <c r="H7" s="34"/>
    </row>
    <row r="8" spans="1:8" ht="12.75">
      <c r="A8" s="79" t="s">
        <v>1033</v>
      </c>
      <c r="B8" s="80" t="s">
        <v>1035</v>
      </c>
      <c r="C8" s="72"/>
      <c r="D8" s="81" t="s">
        <v>1012</v>
      </c>
      <c r="E8" s="84">
        <v>42750</v>
      </c>
      <c r="F8" s="72"/>
      <c r="G8" s="78"/>
      <c r="H8" s="34"/>
    </row>
    <row r="9" spans="1:8" ht="12.75">
      <c r="A9" s="82"/>
      <c r="B9" s="83"/>
      <c r="C9" s="83"/>
      <c r="D9" s="83"/>
      <c r="E9" s="83"/>
      <c r="F9" s="83"/>
      <c r="G9" s="85"/>
      <c r="H9" s="34"/>
    </row>
    <row r="10" spans="1:8" ht="12.75">
      <c r="A10" s="41" t="s">
        <v>256</v>
      </c>
      <c r="B10" s="43" t="s">
        <v>257</v>
      </c>
      <c r="C10" s="44" t="s">
        <v>523</v>
      </c>
      <c r="D10" s="45" t="s">
        <v>1103</v>
      </c>
      <c r="E10" s="45" t="s">
        <v>1104</v>
      </c>
      <c r="F10" s="45" t="s">
        <v>1105</v>
      </c>
      <c r="G10" s="47" t="s">
        <v>1106</v>
      </c>
      <c r="H10" s="35"/>
    </row>
    <row r="11" spans="1:9" ht="12.75">
      <c r="A11" s="42"/>
      <c r="B11" s="42" t="s">
        <v>18</v>
      </c>
      <c r="C11" s="42" t="s">
        <v>525</v>
      </c>
      <c r="D11" s="48">
        <f>'Stavební rozpočet'!H12</f>
        <v>0</v>
      </c>
      <c r="E11" s="48">
        <f>'Stavební rozpočet'!I12</f>
        <v>0</v>
      </c>
      <c r="F11" s="48">
        <f aca="true" t="shared" si="0" ref="F11:F49">D11+E11</f>
        <v>0</v>
      </c>
      <c r="G11" s="48">
        <f>'Stavební rozpočet'!L12</f>
        <v>0</v>
      </c>
      <c r="H11" s="36" t="s">
        <v>1107</v>
      </c>
      <c r="I11" s="36">
        <f aca="true" t="shared" si="1" ref="I11:I49">IF(H11="F",0,F11)</f>
        <v>0</v>
      </c>
    </row>
    <row r="12" spans="1:9" ht="12.75">
      <c r="A12" s="18"/>
      <c r="B12" s="18" t="s">
        <v>19</v>
      </c>
      <c r="C12" s="18" t="s">
        <v>531</v>
      </c>
      <c r="D12" s="36">
        <f>'Stavební rozpočet'!H18</f>
        <v>0</v>
      </c>
      <c r="E12" s="36">
        <f>'Stavební rozpočet'!I18</f>
        <v>0</v>
      </c>
      <c r="F12" s="36">
        <f t="shared" si="0"/>
        <v>0</v>
      </c>
      <c r="G12" s="36">
        <f>'Stavební rozpočet'!L18</f>
        <v>0</v>
      </c>
      <c r="H12" s="36" t="s">
        <v>1107</v>
      </c>
      <c r="I12" s="36">
        <f t="shared" si="1"/>
        <v>0</v>
      </c>
    </row>
    <row r="13" spans="1:9" ht="12.75">
      <c r="A13" s="18"/>
      <c r="B13" s="18" t="s">
        <v>22</v>
      </c>
      <c r="C13" s="18" t="s">
        <v>539</v>
      </c>
      <c r="D13" s="36">
        <f>'Stavební rozpočet'!H27</f>
        <v>0</v>
      </c>
      <c r="E13" s="36">
        <f>'Stavební rozpočet'!I27</f>
        <v>0</v>
      </c>
      <c r="F13" s="36">
        <f t="shared" si="0"/>
        <v>0</v>
      </c>
      <c r="G13" s="36">
        <f>'Stavební rozpočet'!L27</f>
        <v>0</v>
      </c>
      <c r="H13" s="36" t="s">
        <v>1107</v>
      </c>
      <c r="I13" s="36">
        <f t="shared" si="1"/>
        <v>0</v>
      </c>
    </row>
    <row r="14" spans="1:9" ht="12.75">
      <c r="A14" s="18"/>
      <c r="B14" s="18" t="s">
        <v>23</v>
      </c>
      <c r="C14" s="18" t="s">
        <v>544</v>
      </c>
      <c r="D14" s="36">
        <f>'Stavební rozpočet'!H32</f>
        <v>0</v>
      </c>
      <c r="E14" s="36">
        <f>'Stavební rozpočet'!I32</f>
        <v>0</v>
      </c>
      <c r="F14" s="36">
        <f t="shared" si="0"/>
        <v>0</v>
      </c>
      <c r="G14" s="36">
        <f>'Stavební rozpočet'!L32</f>
        <v>148.22351</v>
      </c>
      <c r="H14" s="36" t="s">
        <v>1107</v>
      </c>
      <c r="I14" s="36">
        <f t="shared" si="1"/>
        <v>0</v>
      </c>
    </row>
    <row r="15" spans="1:9" ht="12.75">
      <c r="A15" s="18"/>
      <c r="B15" s="18" t="s">
        <v>24</v>
      </c>
      <c r="C15" s="18" t="s">
        <v>558</v>
      </c>
      <c r="D15" s="36">
        <f>'Stavební rozpočet'!H48</f>
        <v>0</v>
      </c>
      <c r="E15" s="36">
        <f>'Stavební rozpočet'!I48</f>
        <v>0</v>
      </c>
      <c r="F15" s="36">
        <f t="shared" si="0"/>
        <v>0</v>
      </c>
      <c r="G15" s="36">
        <f>'Stavební rozpočet'!L48</f>
        <v>0.00326</v>
      </c>
      <c r="H15" s="36" t="s">
        <v>1107</v>
      </c>
      <c r="I15" s="36">
        <f t="shared" si="1"/>
        <v>0</v>
      </c>
    </row>
    <row r="16" spans="1:9" ht="12.75">
      <c r="A16" s="18"/>
      <c r="B16" s="18" t="s">
        <v>33</v>
      </c>
      <c r="C16" s="18" t="s">
        <v>566</v>
      </c>
      <c r="D16" s="36">
        <f>'Stavební rozpočet'!H56</f>
        <v>0</v>
      </c>
      <c r="E16" s="36">
        <f>'Stavební rozpočet'!I56</f>
        <v>0</v>
      </c>
      <c r="F16" s="36">
        <f t="shared" si="0"/>
        <v>0</v>
      </c>
      <c r="G16" s="36">
        <f>'Stavební rozpočet'!L56</f>
        <v>105.91251999859999</v>
      </c>
      <c r="H16" s="36" t="s">
        <v>1107</v>
      </c>
      <c r="I16" s="36">
        <f t="shared" si="1"/>
        <v>0</v>
      </c>
    </row>
    <row r="17" spans="1:9" ht="12.75">
      <c r="A17" s="18"/>
      <c r="B17" s="18" t="s">
        <v>37</v>
      </c>
      <c r="C17" s="18" t="s">
        <v>577</v>
      </c>
      <c r="D17" s="36">
        <f>'Stavební rozpočet'!H69</f>
        <v>0</v>
      </c>
      <c r="E17" s="36">
        <f>'Stavební rozpočet'!I69</f>
        <v>0</v>
      </c>
      <c r="F17" s="36">
        <f t="shared" si="0"/>
        <v>0</v>
      </c>
      <c r="G17" s="36">
        <f>'Stavební rozpočet'!L69</f>
        <v>51.339499825000004</v>
      </c>
      <c r="H17" s="36" t="s">
        <v>1107</v>
      </c>
      <c r="I17" s="36">
        <f t="shared" si="1"/>
        <v>0</v>
      </c>
    </row>
    <row r="18" spans="1:9" ht="12.75">
      <c r="A18" s="18"/>
      <c r="B18" s="18" t="s">
        <v>39</v>
      </c>
      <c r="C18" s="18" t="s">
        <v>598</v>
      </c>
      <c r="D18" s="36">
        <f>'Stavební rozpočet'!H90</f>
        <v>0</v>
      </c>
      <c r="E18" s="36">
        <f>'Stavební rozpočet'!I90</f>
        <v>0</v>
      </c>
      <c r="F18" s="36">
        <f t="shared" si="0"/>
        <v>0</v>
      </c>
      <c r="G18" s="36">
        <f>'Stavební rozpočet'!L90</f>
        <v>5.22126132</v>
      </c>
      <c r="H18" s="36" t="s">
        <v>1107</v>
      </c>
      <c r="I18" s="36">
        <f t="shared" si="1"/>
        <v>0</v>
      </c>
    </row>
    <row r="19" spans="1:9" ht="12.75">
      <c r="A19" s="18"/>
      <c r="B19" s="18" t="s">
        <v>40</v>
      </c>
      <c r="C19" s="18" t="s">
        <v>604</v>
      </c>
      <c r="D19" s="36">
        <f>'Stavební rozpočet'!H96</f>
        <v>0</v>
      </c>
      <c r="E19" s="36">
        <f>'Stavební rozpočet'!I96</f>
        <v>0</v>
      </c>
      <c r="F19" s="36">
        <f t="shared" si="0"/>
        <v>0</v>
      </c>
      <c r="G19" s="36">
        <f>'Stavební rozpočet'!L96</f>
        <v>24.932672</v>
      </c>
      <c r="H19" s="36" t="s">
        <v>1107</v>
      </c>
      <c r="I19" s="36">
        <f t="shared" si="1"/>
        <v>0</v>
      </c>
    </row>
    <row r="20" spans="1:9" ht="12.75">
      <c r="A20" s="18"/>
      <c r="B20" s="18" t="s">
        <v>47</v>
      </c>
      <c r="C20" s="18" t="s">
        <v>612</v>
      </c>
      <c r="D20" s="36">
        <f>'Stavební rozpočet'!H104</f>
        <v>0</v>
      </c>
      <c r="E20" s="36">
        <f>'Stavební rozpočet'!I104</f>
        <v>0</v>
      </c>
      <c r="F20" s="36">
        <f t="shared" si="0"/>
        <v>0</v>
      </c>
      <c r="G20" s="36">
        <f>'Stavební rozpočet'!L104</f>
        <v>11.534590106300001</v>
      </c>
      <c r="H20" s="36" t="s">
        <v>1107</v>
      </c>
      <c r="I20" s="36">
        <f t="shared" si="1"/>
        <v>0</v>
      </c>
    </row>
    <row r="21" spans="1:9" ht="12.75">
      <c r="A21" s="18"/>
      <c r="B21" s="18" t="s">
        <v>51</v>
      </c>
      <c r="C21" s="18" t="s">
        <v>627</v>
      </c>
      <c r="D21" s="36">
        <f>'Stavební rozpočet'!H120</f>
        <v>0</v>
      </c>
      <c r="E21" s="36">
        <f>'Stavební rozpočet'!I120</f>
        <v>0</v>
      </c>
      <c r="F21" s="36">
        <f t="shared" si="0"/>
        <v>0</v>
      </c>
      <c r="G21" s="36">
        <f>'Stavební rozpočet'!L120</f>
        <v>23.184606750000004</v>
      </c>
      <c r="H21" s="36" t="s">
        <v>1107</v>
      </c>
      <c r="I21" s="36">
        <f t="shared" si="1"/>
        <v>0</v>
      </c>
    </row>
    <row r="22" spans="1:9" ht="12.75">
      <c r="A22" s="18"/>
      <c r="B22" s="18" t="s">
        <v>62</v>
      </c>
      <c r="C22" s="18" t="s">
        <v>633</v>
      </c>
      <c r="D22" s="36">
        <f>'Stavební rozpočet'!H127</f>
        <v>0</v>
      </c>
      <c r="E22" s="36">
        <f>'Stavební rozpočet'!I127</f>
        <v>0</v>
      </c>
      <c r="F22" s="36">
        <f t="shared" si="0"/>
        <v>0</v>
      </c>
      <c r="G22" s="36">
        <f>'Stavební rozpočet'!L127</f>
        <v>17.69677875</v>
      </c>
      <c r="H22" s="36" t="s">
        <v>1107</v>
      </c>
      <c r="I22" s="36">
        <f t="shared" si="1"/>
        <v>0</v>
      </c>
    </row>
    <row r="23" spans="1:9" ht="12.75">
      <c r="A23" s="18"/>
      <c r="B23" s="18" t="s">
        <v>63</v>
      </c>
      <c r="C23" s="18" t="s">
        <v>635</v>
      </c>
      <c r="D23" s="36">
        <f>'Stavební rozpočet'!H130</f>
        <v>0</v>
      </c>
      <c r="E23" s="36">
        <f>'Stavební rozpočet'!I130</f>
        <v>0</v>
      </c>
      <c r="F23" s="36">
        <f t="shared" si="0"/>
        <v>0</v>
      </c>
      <c r="G23" s="36">
        <f>'Stavební rozpočet'!L130</f>
        <v>0</v>
      </c>
      <c r="H23" s="36" t="s">
        <v>1107</v>
      </c>
      <c r="I23" s="36">
        <f t="shared" si="1"/>
        <v>0</v>
      </c>
    </row>
    <row r="24" spans="1:9" ht="12.75">
      <c r="A24" s="18"/>
      <c r="B24" s="18" t="s">
        <v>65</v>
      </c>
      <c r="C24" s="18" t="s">
        <v>638</v>
      </c>
      <c r="D24" s="36">
        <f>'Stavební rozpočet'!H133</f>
        <v>0</v>
      </c>
      <c r="E24" s="36">
        <f>'Stavební rozpočet'!I133</f>
        <v>0</v>
      </c>
      <c r="F24" s="36">
        <f t="shared" si="0"/>
        <v>0</v>
      </c>
      <c r="G24" s="36">
        <f>'Stavební rozpočet'!L133</f>
        <v>13.922102550000002</v>
      </c>
      <c r="H24" s="36" t="s">
        <v>1107</v>
      </c>
      <c r="I24" s="36">
        <f t="shared" si="1"/>
        <v>0</v>
      </c>
    </row>
    <row r="25" spans="1:9" ht="12.75">
      <c r="A25" s="18"/>
      <c r="B25" s="18" t="s">
        <v>67</v>
      </c>
      <c r="C25" s="18" t="s">
        <v>649</v>
      </c>
      <c r="D25" s="36">
        <f>'Stavební rozpočet'!H145</f>
        <v>0</v>
      </c>
      <c r="E25" s="36">
        <f>'Stavební rozpočet'!I145</f>
        <v>0</v>
      </c>
      <c r="F25" s="36">
        <f t="shared" si="0"/>
        <v>0</v>
      </c>
      <c r="G25" s="36">
        <f>'Stavební rozpočet'!L145</f>
        <v>9.345965806</v>
      </c>
      <c r="H25" s="36" t="s">
        <v>1107</v>
      </c>
      <c r="I25" s="36">
        <f t="shared" si="1"/>
        <v>0</v>
      </c>
    </row>
    <row r="26" spans="1:9" ht="12.75">
      <c r="A26" s="18"/>
      <c r="B26" s="18" t="s">
        <v>68</v>
      </c>
      <c r="C26" s="18" t="s">
        <v>661</v>
      </c>
      <c r="D26" s="36">
        <f>'Stavební rozpočet'!H157</f>
        <v>0</v>
      </c>
      <c r="E26" s="36">
        <f>'Stavební rozpočet'!I157</f>
        <v>0</v>
      </c>
      <c r="F26" s="36">
        <f t="shared" si="0"/>
        <v>0</v>
      </c>
      <c r="G26" s="36">
        <f>'Stavební rozpočet'!L157</f>
        <v>4.178074475000001</v>
      </c>
      <c r="H26" s="36" t="s">
        <v>1107</v>
      </c>
      <c r="I26" s="36">
        <f t="shared" si="1"/>
        <v>0</v>
      </c>
    </row>
    <row r="27" spans="1:9" ht="12.75">
      <c r="A27" s="18"/>
      <c r="B27" s="18" t="s">
        <v>69</v>
      </c>
      <c r="C27" s="18" t="s">
        <v>675</v>
      </c>
      <c r="D27" s="36">
        <f>'Stavební rozpočet'!H171</f>
        <v>0</v>
      </c>
      <c r="E27" s="36">
        <f>'Stavební rozpočet'!I171</f>
        <v>0</v>
      </c>
      <c r="F27" s="36">
        <f t="shared" si="0"/>
        <v>0</v>
      </c>
      <c r="G27" s="36">
        <f>'Stavební rozpočet'!L171</f>
        <v>79.862199875</v>
      </c>
      <c r="H27" s="36" t="s">
        <v>1107</v>
      </c>
      <c r="I27" s="36">
        <f t="shared" si="1"/>
        <v>0</v>
      </c>
    </row>
    <row r="28" spans="1:9" ht="12.75">
      <c r="A28" s="18"/>
      <c r="B28" s="18" t="s">
        <v>70</v>
      </c>
      <c r="C28" s="18" t="s">
        <v>696</v>
      </c>
      <c r="D28" s="36">
        <f>'Stavební rozpočet'!H193</f>
        <v>0</v>
      </c>
      <c r="E28" s="36">
        <f>'Stavební rozpočet'!I193</f>
        <v>0</v>
      </c>
      <c r="F28" s="36">
        <f t="shared" si="0"/>
        <v>0</v>
      </c>
      <c r="G28" s="36">
        <f>'Stavební rozpočet'!L193</f>
        <v>0.51683</v>
      </c>
      <c r="H28" s="36" t="s">
        <v>1107</v>
      </c>
      <c r="I28" s="36">
        <f t="shared" si="1"/>
        <v>0</v>
      </c>
    </row>
    <row r="29" spans="1:9" ht="12.75">
      <c r="A29" s="18"/>
      <c r="B29" s="18" t="s">
        <v>96</v>
      </c>
      <c r="C29" s="18" t="s">
        <v>702</v>
      </c>
      <c r="D29" s="36">
        <f>'Stavební rozpočet'!H199</f>
        <v>0</v>
      </c>
      <c r="E29" s="36">
        <f>'Stavební rozpočet'!I199</f>
        <v>0</v>
      </c>
      <c r="F29" s="36">
        <f t="shared" si="0"/>
        <v>0</v>
      </c>
      <c r="G29" s="36">
        <f>'Stavební rozpočet'!L199</f>
        <v>0</v>
      </c>
      <c r="H29" s="36" t="s">
        <v>1107</v>
      </c>
      <c r="I29" s="36">
        <f t="shared" si="1"/>
        <v>0</v>
      </c>
    </row>
    <row r="30" spans="1:9" ht="12.75">
      <c r="A30" s="18"/>
      <c r="B30" s="18" t="s">
        <v>100</v>
      </c>
      <c r="C30" s="18" t="s">
        <v>705</v>
      </c>
      <c r="D30" s="36">
        <f>'Stavební rozpočet'!H202</f>
        <v>0</v>
      </c>
      <c r="E30" s="36">
        <f>'Stavební rozpočet'!I202</f>
        <v>0</v>
      </c>
      <c r="F30" s="36">
        <f t="shared" si="0"/>
        <v>0</v>
      </c>
      <c r="G30" s="36">
        <f>'Stavební rozpočet'!L202</f>
        <v>2.1991677250000006</v>
      </c>
      <c r="H30" s="36" t="s">
        <v>1107</v>
      </c>
      <c r="I30" s="36">
        <f t="shared" si="1"/>
        <v>0</v>
      </c>
    </row>
    <row r="31" spans="1:9" ht="12.75">
      <c r="A31" s="18"/>
      <c r="B31" s="18" t="s">
        <v>101</v>
      </c>
      <c r="C31" s="18" t="s">
        <v>713</v>
      </c>
      <c r="D31" s="36">
        <f>'Stavební rozpočet'!H210</f>
        <v>0</v>
      </c>
      <c r="E31" s="36">
        <f>'Stavební rozpočet'!I210</f>
        <v>0</v>
      </c>
      <c r="F31" s="36">
        <f t="shared" si="0"/>
        <v>0</v>
      </c>
      <c r="G31" s="36">
        <f>'Stavební rozpočet'!L210</f>
        <v>0.0052098000000000005</v>
      </c>
      <c r="H31" s="36" t="s">
        <v>1107</v>
      </c>
      <c r="I31" s="36">
        <f t="shared" si="1"/>
        <v>0</v>
      </c>
    </row>
    <row r="32" spans="1:9" ht="12.75">
      <c r="A32" s="18"/>
      <c r="B32" s="18" t="s">
        <v>342</v>
      </c>
      <c r="C32" s="18" t="s">
        <v>718</v>
      </c>
      <c r="D32" s="36">
        <f>'Stavební rozpočet'!H215</f>
        <v>0</v>
      </c>
      <c r="E32" s="36">
        <f>'Stavební rozpočet'!I215</f>
        <v>0</v>
      </c>
      <c r="F32" s="36">
        <f t="shared" si="0"/>
        <v>0</v>
      </c>
      <c r="G32" s="36">
        <f>'Stavební rozpočet'!L215</f>
        <v>0.0155</v>
      </c>
      <c r="H32" s="36" t="s">
        <v>1107</v>
      </c>
      <c r="I32" s="36">
        <f t="shared" si="1"/>
        <v>0</v>
      </c>
    </row>
    <row r="33" spans="1:9" ht="12.75">
      <c r="A33" s="18"/>
      <c r="B33" s="18" t="s">
        <v>345</v>
      </c>
      <c r="C33" s="18" t="s">
        <v>722</v>
      </c>
      <c r="D33" s="36">
        <f>'Stavební rozpočet'!H219</f>
        <v>0</v>
      </c>
      <c r="E33" s="36">
        <f>'Stavební rozpočet'!I219</f>
        <v>0</v>
      </c>
      <c r="F33" s="36">
        <f t="shared" si="0"/>
        <v>0</v>
      </c>
      <c r="G33" s="36">
        <f>'Stavební rozpočet'!L219</f>
        <v>1.1880701</v>
      </c>
      <c r="H33" s="36" t="s">
        <v>1107</v>
      </c>
      <c r="I33" s="36">
        <f t="shared" si="1"/>
        <v>0</v>
      </c>
    </row>
    <row r="34" spans="1:9" ht="12.75">
      <c r="A34" s="18"/>
      <c r="B34" s="18" t="s">
        <v>354</v>
      </c>
      <c r="C34" s="18" t="s">
        <v>743</v>
      </c>
      <c r="D34" s="36">
        <f>'Stavební rozpočet'!H240</f>
        <v>0</v>
      </c>
      <c r="E34" s="36">
        <f>'Stavební rozpočet'!I240</f>
        <v>0</v>
      </c>
      <c r="F34" s="36">
        <f t="shared" si="0"/>
        <v>0</v>
      </c>
      <c r="G34" s="36">
        <f>'Stavební rozpočet'!L240</f>
        <v>0.972463008</v>
      </c>
      <c r="H34" s="36" t="s">
        <v>1107</v>
      </c>
      <c r="I34" s="36">
        <f t="shared" si="1"/>
        <v>0</v>
      </c>
    </row>
    <row r="35" spans="1:9" ht="12.75">
      <c r="A35" s="18"/>
      <c r="B35" s="18" t="s">
        <v>365</v>
      </c>
      <c r="C35" s="18" t="s">
        <v>765</v>
      </c>
      <c r="D35" s="36">
        <f>'Stavební rozpočet'!H264</f>
        <v>0</v>
      </c>
      <c r="E35" s="36">
        <f>'Stavební rozpočet'!I264</f>
        <v>0</v>
      </c>
      <c r="F35" s="36">
        <f t="shared" si="0"/>
        <v>0</v>
      </c>
      <c r="G35" s="36">
        <f>'Stavební rozpočet'!L264</f>
        <v>0.3177773</v>
      </c>
      <c r="H35" s="36" t="s">
        <v>1107</v>
      </c>
      <c r="I35" s="36">
        <f t="shared" si="1"/>
        <v>0</v>
      </c>
    </row>
    <row r="36" spans="1:9" ht="12.75">
      <c r="A36" s="18"/>
      <c r="B36" s="18" t="s">
        <v>380</v>
      </c>
      <c r="C36" s="18" t="s">
        <v>790</v>
      </c>
      <c r="D36" s="36">
        <f>'Stavební rozpočet'!H291</f>
        <v>0</v>
      </c>
      <c r="E36" s="36">
        <f>'Stavební rozpočet'!I291</f>
        <v>0</v>
      </c>
      <c r="F36" s="36">
        <f t="shared" si="0"/>
        <v>0</v>
      </c>
      <c r="G36" s="36">
        <f>'Stavební rozpočet'!L291</f>
        <v>0.07274920000000001</v>
      </c>
      <c r="H36" s="36" t="s">
        <v>1107</v>
      </c>
      <c r="I36" s="36">
        <f t="shared" si="1"/>
        <v>0</v>
      </c>
    </row>
    <row r="37" spans="1:9" ht="12.75">
      <c r="A37" s="18"/>
      <c r="B37" s="18" t="s">
        <v>397</v>
      </c>
      <c r="C37" s="18" t="s">
        <v>812</v>
      </c>
      <c r="D37" s="36">
        <f>'Stavební rozpočet'!H318</f>
        <v>0</v>
      </c>
      <c r="E37" s="36">
        <f>'Stavební rozpočet'!I318</f>
        <v>0</v>
      </c>
      <c r="F37" s="36">
        <f t="shared" si="0"/>
        <v>0</v>
      </c>
      <c r="G37" s="36">
        <f>'Stavební rozpočet'!L318</f>
        <v>0.89032</v>
      </c>
      <c r="H37" s="36" t="s">
        <v>1107</v>
      </c>
      <c r="I37" s="36">
        <f t="shared" si="1"/>
        <v>0</v>
      </c>
    </row>
    <row r="38" spans="1:9" ht="12.75">
      <c r="A38" s="18"/>
      <c r="B38" s="18" t="s">
        <v>423</v>
      </c>
      <c r="C38" s="18" t="s">
        <v>842</v>
      </c>
      <c r="D38" s="36">
        <f>'Stavební rozpočet'!H348</f>
        <v>0</v>
      </c>
      <c r="E38" s="36">
        <f>'Stavební rozpočet'!I348</f>
        <v>0</v>
      </c>
      <c r="F38" s="36">
        <f t="shared" si="0"/>
        <v>0</v>
      </c>
      <c r="G38" s="36">
        <f>'Stavební rozpočet'!L348</f>
        <v>0.036</v>
      </c>
      <c r="H38" s="36" t="s">
        <v>1107</v>
      </c>
      <c r="I38" s="36">
        <f t="shared" si="1"/>
        <v>0</v>
      </c>
    </row>
    <row r="39" spans="1:9" ht="12.75">
      <c r="A39" s="18"/>
      <c r="B39" s="18" t="s">
        <v>426</v>
      </c>
      <c r="C39" s="18" t="s">
        <v>846</v>
      </c>
      <c r="D39" s="36">
        <f>'Stavební rozpočet'!H352</f>
        <v>0</v>
      </c>
      <c r="E39" s="36">
        <f>'Stavební rozpočet'!I352</f>
        <v>0</v>
      </c>
      <c r="F39" s="36">
        <f t="shared" si="0"/>
        <v>0</v>
      </c>
      <c r="G39" s="36">
        <f>'Stavební rozpočet'!L352</f>
        <v>0</v>
      </c>
      <c r="H39" s="36" t="s">
        <v>1107</v>
      </c>
      <c r="I39" s="36">
        <f t="shared" si="1"/>
        <v>0</v>
      </c>
    </row>
    <row r="40" spans="1:9" ht="12.75">
      <c r="A40" s="18"/>
      <c r="B40" s="18" t="s">
        <v>439</v>
      </c>
      <c r="C40" s="18" t="s">
        <v>861</v>
      </c>
      <c r="D40" s="36">
        <f>'Stavební rozpočet'!H368</f>
        <v>0</v>
      </c>
      <c r="E40" s="36">
        <f>'Stavební rozpočet'!I368</f>
        <v>0</v>
      </c>
      <c r="F40" s="36">
        <f t="shared" si="0"/>
        <v>0</v>
      </c>
      <c r="G40" s="36">
        <f>'Stavební rozpočet'!L368</f>
        <v>4.198007543999999</v>
      </c>
      <c r="H40" s="36" t="s">
        <v>1107</v>
      </c>
      <c r="I40" s="36">
        <f t="shared" si="1"/>
        <v>0</v>
      </c>
    </row>
    <row r="41" spans="1:9" ht="12.75">
      <c r="A41" s="18"/>
      <c r="B41" s="18" t="s">
        <v>448</v>
      </c>
      <c r="C41" s="18" t="s">
        <v>881</v>
      </c>
      <c r="D41" s="36">
        <f>'Stavební rozpočet'!H390</f>
        <v>0</v>
      </c>
      <c r="E41" s="36">
        <f>'Stavební rozpočet'!I390</f>
        <v>0</v>
      </c>
      <c r="F41" s="36">
        <f t="shared" si="0"/>
        <v>0</v>
      </c>
      <c r="G41" s="36">
        <f>'Stavební rozpočet'!L390</f>
        <v>1.0242378112000001</v>
      </c>
      <c r="H41" s="36" t="s">
        <v>1107</v>
      </c>
      <c r="I41" s="36">
        <f t="shared" si="1"/>
        <v>0</v>
      </c>
    </row>
    <row r="42" spans="1:9" ht="12.75">
      <c r="A42" s="18"/>
      <c r="B42" s="18" t="s">
        <v>463</v>
      </c>
      <c r="C42" s="18" t="s">
        <v>906</v>
      </c>
      <c r="D42" s="36">
        <f>'Stavební rozpočet'!H418</f>
        <v>0</v>
      </c>
      <c r="E42" s="36">
        <f>'Stavební rozpočet'!I418</f>
        <v>0</v>
      </c>
      <c r="F42" s="36">
        <f t="shared" si="0"/>
        <v>0</v>
      </c>
      <c r="G42" s="36">
        <f>'Stavební rozpočet'!L418</f>
        <v>3.745497877</v>
      </c>
      <c r="H42" s="36" t="s">
        <v>1107</v>
      </c>
      <c r="I42" s="36">
        <f t="shared" si="1"/>
        <v>0</v>
      </c>
    </row>
    <row r="43" spans="1:9" ht="12.75">
      <c r="A43" s="18"/>
      <c r="B43" s="18" t="s">
        <v>486</v>
      </c>
      <c r="C43" s="18" t="s">
        <v>944</v>
      </c>
      <c r="D43" s="36">
        <f>'Stavební rozpočet'!H457</f>
        <v>0</v>
      </c>
      <c r="E43" s="36">
        <f>'Stavební rozpočet'!I457</f>
        <v>0</v>
      </c>
      <c r="F43" s="36">
        <f t="shared" si="0"/>
        <v>0</v>
      </c>
      <c r="G43" s="36">
        <f>'Stavební rozpočet'!L457</f>
        <v>3.3126715209999995</v>
      </c>
      <c r="H43" s="36" t="s">
        <v>1107</v>
      </c>
      <c r="I43" s="36">
        <f t="shared" si="1"/>
        <v>0</v>
      </c>
    </row>
    <row r="44" spans="1:9" ht="12.75">
      <c r="A44" s="18"/>
      <c r="B44" s="18" t="s">
        <v>496</v>
      </c>
      <c r="C44" s="18" t="s">
        <v>965</v>
      </c>
      <c r="D44" s="36">
        <f>'Stavební rozpočet'!H478</f>
        <v>0</v>
      </c>
      <c r="E44" s="36">
        <f>'Stavební rozpočet'!I478</f>
        <v>0</v>
      </c>
      <c r="F44" s="36">
        <f t="shared" si="0"/>
        <v>0</v>
      </c>
      <c r="G44" s="36">
        <f>'Stavební rozpočet'!L478</f>
        <v>0.0577808</v>
      </c>
      <c r="H44" s="36" t="s">
        <v>1107</v>
      </c>
      <c r="I44" s="36">
        <f t="shared" si="1"/>
        <v>0</v>
      </c>
    </row>
    <row r="45" spans="1:9" ht="12.75">
      <c r="A45" s="18"/>
      <c r="B45" s="18" t="s">
        <v>499</v>
      </c>
      <c r="C45" s="18" t="s">
        <v>970</v>
      </c>
      <c r="D45" s="36">
        <f>'Stavební rozpočet'!H483</f>
        <v>0</v>
      </c>
      <c r="E45" s="36">
        <f>'Stavební rozpočet'!I483</f>
        <v>0</v>
      </c>
      <c r="F45" s="36">
        <f t="shared" si="0"/>
        <v>0</v>
      </c>
      <c r="G45" s="36">
        <f>'Stavební rozpočet'!L483</f>
        <v>3.149808816</v>
      </c>
      <c r="H45" s="36" t="s">
        <v>1107</v>
      </c>
      <c r="I45" s="36">
        <f t="shared" si="1"/>
        <v>0</v>
      </c>
    </row>
    <row r="46" spans="1:9" ht="12.75">
      <c r="A46" s="18"/>
      <c r="B46" s="18" t="s">
        <v>506</v>
      </c>
      <c r="C46" s="18" t="s">
        <v>985</v>
      </c>
      <c r="D46" s="36">
        <f>'Stavební rozpočet'!H499</f>
        <v>0</v>
      </c>
      <c r="E46" s="36">
        <f>'Stavební rozpočet'!I499</f>
        <v>0</v>
      </c>
      <c r="F46" s="36">
        <f t="shared" si="0"/>
        <v>0</v>
      </c>
      <c r="G46" s="36">
        <f>'Stavební rozpočet'!L499</f>
        <v>0.029487621599999996</v>
      </c>
      <c r="H46" s="36" t="s">
        <v>1107</v>
      </c>
      <c r="I46" s="36">
        <f t="shared" si="1"/>
        <v>0</v>
      </c>
    </row>
    <row r="47" spans="1:9" ht="12.75">
      <c r="A47" s="18"/>
      <c r="B47" s="18" t="s">
        <v>512</v>
      </c>
      <c r="C47" s="18" t="s">
        <v>995</v>
      </c>
      <c r="D47" s="36">
        <f>'Stavební rozpočet'!H509</f>
        <v>0</v>
      </c>
      <c r="E47" s="36">
        <f>'Stavební rozpočet'!I509</f>
        <v>0</v>
      </c>
      <c r="F47" s="36">
        <f t="shared" si="0"/>
        <v>0</v>
      </c>
      <c r="G47" s="36">
        <f>'Stavební rozpočet'!L509</f>
        <v>0.27074192</v>
      </c>
      <c r="H47" s="36" t="s">
        <v>1107</v>
      </c>
      <c r="I47" s="36">
        <f t="shared" si="1"/>
        <v>0</v>
      </c>
    </row>
    <row r="48" spans="1:9" ht="12.75">
      <c r="A48" s="18"/>
      <c r="B48" s="18" t="s">
        <v>515</v>
      </c>
      <c r="C48" s="18" t="s">
        <v>1002</v>
      </c>
      <c r="D48" s="36">
        <f>'Stavební rozpočet'!H517</f>
        <v>0</v>
      </c>
      <c r="E48" s="36">
        <f>'Stavební rozpočet'!I517</f>
        <v>0</v>
      </c>
      <c r="F48" s="36">
        <f t="shared" si="0"/>
        <v>0</v>
      </c>
      <c r="G48" s="36">
        <f>'Stavební rozpočet'!L517</f>
        <v>0</v>
      </c>
      <c r="H48" s="36" t="s">
        <v>1107</v>
      </c>
      <c r="I48" s="36">
        <f t="shared" si="1"/>
        <v>0</v>
      </c>
    </row>
    <row r="49" spans="1:9" ht="12.75">
      <c r="A49" s="18"/>
      <c r="B49" s="18" t="s">
        <v>517</v>
      </c>
      <c r="C49" s="18" t="s">
        <v>1004</v>
      </c>
      <c r="D49" s="36">
        <f>'Stavební rozpočet'!H520</f>
        <v>0</v>
      </c>
      <c r="E49" s="36">
        <f>'Stavební rozpočet'!I520</f>
        <v>0</v>
      </c>
      <c r="F49" s="36">
        <f t="shared" si="0"/>
        <v>0</v>
      </c>
      <c r="G49" s="36">
        <f>'Stavební rozpočet'!L520</f>
        <v>0</v>
      </c>
      <c r="H49" s="36" t="s">
        <v>1107</v>
      </c>
      <c r="I49" s="36">
        <f t="shared" si="1"/>
        <v>0</v>
      </c>
    </row>
    <row r="51" spans="5:6" ht="12.75">
      <c r="E51" s="46" t="s">
        <v>1029</v>
      </c>
      <c r="F51" s="49">
        <f>SUM(I11:I49)</f>
        <v>0</v>
      </c>
    </row>
  </sheetData>
  <sheetProtection/>
  <mergeCells count="17"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66"/>
      <c r="B1" s="7"/>
      <c r="C1" s="99" t="s">
        <v>1123</v>
      </c>
      <c r="D1" s="100"/>
      <c r="E1" s="100"/>
      <c r="F1" s="100"/>
      <c r="G1" s="100"/>
      <c r="H1" s="100"/>
      <c r="I1" s="100"/>
    </row>
    <row r="2" spans="1:10" ht="12.75">
      <c r="A2" s="69" t="s">
        <v>1</v>
      </c>
      <c r="B2" s="70"/>
      <c r="C2" s="73" t="s">
        <v>520</v>
      </c>
      <c r="D2" s="98"/>
      <c r="E2" s="76" t="s">
        <v>1030</v>
      </c>
      <c r="F2" s="76"/>
      <c r="G2" s="70"/>
      <c r="H2" s="76" t="s">
        <v>1149</v>
      </c>
      <c r="I2" s="101"/>
      <c r="J2" s="34"/>
    </row>
    <row r="3" spans="1:10" ht="12.75">
      <c r="A3" s="71"/>
      <c r="B3" s="72"/>
      <c r="C3" s="74"/>
      <c r="D3" s="74"/>
      <c r="E3" s="72"/>
      <c r="F3" s="72"/>
      <c r="G3" s="72"/>
      <c r="H3" s="72"/>
      <c r="I3" s="78"/>
      <c r="J3" s="34"/>
    </row>
    <row r="4" spans="1:10" ht="12.75">
      <c r="A4" s="79" t="s">
        <v>2</v>
      </c>
      <c r="B4" s="72"/>
      <c r="C4" s="80" t="s">
        <v>521</v>
      </c>
      <c r="D4" s="72"/>
      <c r="E4" s="80" t="s">
        <v>1031</v>
      </c>
      <c r="F4" s="80" t="s">
        <v>1035</v>
      </c>
      <c r="G4" s="72"/>
      <c r="H4" s="80" t="s">
        <v>1149</v>
      </c>
      <c r="I4" s="102" t="s">
        <v>1153</v>
      </c>
      <c r="J4" s="34"/>
    </row>
    <row r="5" spans="1:10" ht="12.75">
      <c r="A5" s="71"/>
      <c r="B5" s="72"/>
      <c r="C5" s="72"/>
      <c r="D5" s="72"/>
      <c r="E5" s="72"/>
      <c r="F5" s="72"/>
      <c r="G5" s="72"/>
      <c r="H5" s="72"/>
      <c r="I5" s="78"/>
      <c r="J5" s="34"/>
    </row>
    <row r="6" spans="1:10" ht="12.75">
      <c r="A6" s="79" t="s">
        <v>3</v>
      </c>
      <c r="B6" s="72"/>
      <c r="C6" s="80" t="s">
        <v>522</v>
      </c>
      <c r="D6" s="72"/>
      <c r="E6" s="80" t="s">
        <v>1032</v>
      </c>
      <c r="F6" s="80"/>
      <c r="G6" s="72"/>
      <c r="H6" s="80" t="s">
        <v>1149</v>
      </c>
      <c r="I6" s="102"/>
      <c r="J6" s="34"/>
    </row>
    <row r="7" spans="1:10" ht="12.75">
      <c r="A7" s="71"/>
      <c r="B7" s="72"/>
      <c r="C7" s="72"/>
      <c r="D7" s="72"/>
      <c r="E7" s="72"/>
      <c r="F7" s="72"/>
      <c r="G7" s="72"/>
      <c r="H7" s="72"/>
      <c r="I7" s="78"/>
      <c r="J7" s="34"/>
    </row>
    <row r="8" spans="1:10" ht="12.75">
      <c r="A8" s="79" t="s">
        <v>1010</v>
      </c>
      <c r="B8" s="72"/>
      <c r="C8" s="81" t="s">
        <v>6</v>
      </c>
      <c r="D8" s="72"/>
      <c r="E8" s="80" t="s">
        <v>1011</v>
      </c>
      <c r="F8" s="72"/>
      <c r="G8" s="72"/>
      <c r="H8" s="81" t="s">
        <v>1150</v>
      </c>
      <c r="I8" s="102" t="s">
        <v>254</v>
      </c>
      <c r="J8" s="34"/>
    </row>
    <row r="9" spans="1:10" ht="12.75">
      <c r="A9" s="71"/>
      <c r="B9" s="72"/>
      <c r="C9" s="72"/>
      <c r="D9" s="72"/>
      <c r="E9" s="72"/>
      <c r="F9" s="72"/>
      <c r="G9" s="72"/>
      <c r="H9" s="72"/>
      <c r="I9" s="78"/>
      <c r="J9" s="34"/>
    </row>
    <row r="10" spans="1:10" ht="12.75">
      <c r="A10" s="79" t="s">
        <v>4</v>
      </c>
      <c r="B10" s="72"/>
      <c r="C10" s="80"/>
      <c r="D10" s="72"/>
      <c r="E10" s="80" t="s">
        <v>1033</v>
      </c>
      <c r="F10" s="80" t="s">
        <v>1035</v>
      </c>
      <c r="G10" s="72"/>
      <c r="H10" s="81" t="s">
        <v>1151</v>
      </c>
      <c r="I10" s="105">
        <v>42750</v>
      </c>
      <c r="J10" s="34"/>
    </row>
    <row r="11" spans="1:10" ht="12.75">
      <c r="A11" s="103"/>
      <c r="B11" s="104"/>
      <c r="C11" s="104"/>
      <c r="D11" s="104"/>
      <c r="E11" s="104"/>
      <c r="F11" s="104"/>
      <c r="G11" s="104"/>
      <c r="H11" s="104"/>
      <c r="I11" s="106"/>
      <c r="J11" s="34"/>
    </row>
    <row r="12" spans="1:9" ht="23.25" customHeight="1">
      <c r="A12" s="107" t="s">
        <v>1108</v>
      </c>
      <c r="B12" s="108"/>
      <c r="C12" s="108"/>
      <c r="D12" s="108"/>
      <c r="E12" s="108"/>
      <c r="F12" s="108"/>
      <c r="G12" s="108"/>
      <c r="H12" s="108"/>
      <c r="I12" s="108"/>
    </row>
    <row r="13" spans="1:10" ht="26.25" customHeight="1">
      <c r="A13" s="50" t="s">
        <v>1109</v>
      </c>
      <c r="B13" s="109" t="s">
        <v>1121</v>
      </c>
      <c r="C13" s="110"/>
      <c r="D13" s="50" t="s">
        <v>1124</v>
      </c>
      <c r="E13" s="109" t="s">
        <v>1134</v>
      </c>
      <c r="F13" s="110"/>
      <c r="G13" s="50" t="s">
        <v>1135</v>
      </c>
      <c r="H13" s="109" t="s">
        <v>1152</v>
      </c>
      <c r="I13" s="110"/>
      <c r="J13" s="34"/>
    </row>
    <row r="14" spans="1:10" ht="15" customHeight="1">
      <c r="A14" s="51" t="s">
        <v>1110</v>
      </c>
      <c r="B14" s="55" t="s">
        <v>1122</v>
      </c>
      <c r="C14" s="59">
        <f>SUM('Stavební rozpočet'!R12:R525)</f>
        <v>0</v>
      </c>
      <c r="D14" s="111" t="s">
        <v>1125</v>
      </c>
      <c r="E14" s="112"/>
      <c r="F14" s="59">
        <v>0</v>
      </c>
      <c r="G14" s="111" t="s">
        <v>1136</v>
      </c>
      <c r="H14" s="112"/>
      <c r="I14" s="59">
        <v>0</v>
      </c>
      <c r="J14" s="34"/>
    </row>
    <row r="15" spans="1:10" ht="15" customHeight="1">
      <c r="A15" s="52"/>
      <c r="B15" s="55" t="s">
        <v>1034</v>
      </c>
      <c r="C15" s="59">
        <f>SUM('Stavební rozpočet'!S12:S525)</f>
        <v>0</v>
      </c>
      <c r="D15" s="111" t="s">
        <v>1126</v>
      </c>
      <c r="E15" s="112"/>
      <c r="F15" s="59">
        <v>0</v>
      </c>
      <c r="G15" s="111" t="s">
        <v>1137</v>
      </c>
      <c r="H15" s="112"/>
      <c r="I15" s="59">
        <v>0</v>
      </c>
      <c r="J15" s="34"/>
    </row>
    <row r="16" spans="1:10" ht="15" customHeight="1">
      <c r="A16" s="51" t="s">
        <v>1111</v>
      </c>
      <c r="B16" s="55" t="s">
        <v>1122</v>
      </c>
      <c r="C16" s="59">
        <f>SUM('Stavební rozpočet'!T12:T525)</f>
        <v>0</v>
      </c>
      <c r="D16" s="111" t="s">
        <v>1127</v>
      </c>
      <c r="E16" s="112"/>
      <c r="F16" s="59">
        <v>0</v>
      </c>
      <c r="G16" s="111" t="s">
        <v>1138</v>
      </c>
      <c r="H16" s="112"/>
      <c r="I16" s="59">
        <v>0</v>
      </c>
      <c r="J16" s="34"/>
    </row>
    <row r="17" spans="1:10" ht="15" customHeight="1">
      <c r="A17" s="52"/>
      <c r="B17" s="55" t="s">
        <v>1034</v>
      </c>
      <c r="C17" s="59">
        <f>SUM('Stavební rozpočet'!U12:U525)</f>
        <v>0</v>
      </c>
      <c r="D17" s="111" t="s">
        <v>1128</v>
      </c>
      <c r="E17" s="112"/>
      <c r="F17" s="59">
        <v>0</v>
      </c>
      <c r="G17" s="111" t="s">
        <v>1139</v>
      </c>
      <c r="H17" s="112"/>
      <c r="I17" s="59">
        <v>0</v>
      </c>
      <c r="J17" s="34"/>
    </row>
    <row r="18" spans="1:10" ht="15" customHeight="1">
      <c r="A18" s="51" t="s">
        <v>1112</v>
      </c>
      <c r="B18" s="55" t="s">
        <v>1122</v>
      </c>
      <c r="C18" s="59">
        <f>SUM('Stavební rozpočet'!V12:V525)</f>
        <v>0</v>
      </c>
      <c r="D18" s="111"/>
      <c r="E18" s="112"/>
      <c r="F18" s="60"/>
      <c r="G18" s="111" t="s">
        <v>1140</v>
      </c>
      <c r="H18" s="112"/>
      <c r="I18" s="59">
        <v>0</v>
      </c>
      <c r="J18" s="34"/>
    </row>
    <row r="19" spans="1:10" ht="15" customHeight="1">
      <c r="A19" s="52"/>
      <c r="B19" s="55" t="s">
        <v>1034</v>
      </c>
      <c r="C19" s="59">
        <f>SUM('Stavební rozpočet'!W12:W525)</f>
        <v>0</v>
      </c>
      <c r="D19" s="111"/>
      <c r="E19" s="112"/>
      <c r="F19" s="60"/>
      <c r="G19" s="111" t="s">
        <v>1141</v>
      </c>
      <c r="H19" s="112"/>
      <c r="I19" s="59">
        <v>0</v>
      </c>
      <c r="J19" s="34"/>
    </row>
    <row r="20" spans="1:10" ht="15" customHeight="1">
      <c r="A20" s="113" t="s">
        <v>1113</v>
      </c>
      <c r="B20" s="114"/>
      <c r="C20" s="59">
        <f>SUM('Stavební rozpočet'!X12:X525)</f>
        <v>0</v>
      </c>
      <c r="D20" s="111"/>
      <c r="E20" s="112"/>
      <c r="F20" s="60"/>
      <c r="G20" s="111"/>
      <c r="H20" s="112"/>
      <c r="I20" s="60"/>
      <c r="J20" s="34"/>
    </row>
    <row r="21" spans="1:10" ht="15" customHeight="1">
      <c r="A21" s="113" t="s">
        <v>1114</v>
      </c>
      <c r="B21" s="114"/>
      <c r="C21" s="59">
        <f>SUM('Stavební rozpočet'!P12:P525)</f>
        <v>0</v>
      </c>
      <c r="D21" s="111"/>
      <c r="E21" s="112"/>
      <c r="F21" s="60"/>
      <c r="G21" s="111"/>
      <c r="H21" s="112"/>
      <c r="I21" s="60"/>
      <c r="J21" s="34"/>
    </row>
    <row r="22" spans="1:10" ht="16.5" customHeight="1">
      <c r="A22" s="113" t="s">
        <v>1115</v>
      </c>
      <c r="B22" s="114"/>
      <c r="C22" s="59">
        <f>SUM(C14:C21)</f>
        <v>0</v>
      </c>
      <c r="D22" s="113" t="s">
        <v>1129</v>
      </c>
      <c r="E22" s="114"/>
      <c r="F22" s="59">
        <f>SUM(F14:F21)</f>
        <v>0</v>
      </c>
      <c r="G22" s="113" t="s">
        <v>1142</v>
      </c>
      <c r="H22" s="114"/>
      <c r="I22" s="59">
        <f>SUM(I14:I21)</f>
        <v>0</v>
      </c>
      <c r="J22" s="34"/>
    </row>
    <row r="23" spans="1:10" ht="15" customHeight="1">
      <c r="A23" s="8"/>
      <c r="B23" s="8"/>
      <c r="C23" s="57"/>
      <c r="D23" s="113" t="s">
        <v>1130</v>
      </c>
      <c r="E23" s="114"/>
      <c r="F23" s="61">
        <v>0</v>
      </c>
      <c r="G23" s="113" t="s">
        <v>1143</v>
      </c>
      <c r="H23" s="114"/>
      <c r="I23" s="59">
        <v>0</v>
      </c>
      <c r="J23" s="34"/>
    </row>
    <row r="24" spans="4:9" ht="15" customHeight="1">
      <c r="D24" s="8"/>
      <c r="E24" s="8"/>
      <c r="F24" s="62"/>
      <c r="G24" s="113" t="s">
        <v>1144</v>
      </c>
      <c r="H24" s="114"/>
      <c r="I24" s="64"/>
    </row>
    <row r="25" spans="6:10" ht="15" customHeight="1">
      <c r="F25" s="63"/>
      <c r="G25" s="113" t="s">
        <v>1145</v>
      </c>
      <c r="H25" s="114"/>
      <c r="I25" s="59">
        <v>0</v>
      </c>
      <c r="J25" s="34"/>
    </row>
    <row r="26" spans="1:9" ht="12.75">
      <c r="A26" s="7"/>
      <c r="B26" s="7"/>
      <c r="C26" s="7"/>
      <c r="G26" s="8"/>
      <c r="H26" s="8"/>
      <c r="I26" s="8"/>
    </row>
    <row r="27" spans="1:9" ht="15" customHeight="1">
      <c r="A27" s="115" t="s">
        <v>1116</v>
      </c>
      <c r="B27" s="116"/>
      <c r="C27" s="65">
        <f>SUM('Stavební rozpočet'!Z12:Z525)</f>
        <v>0</v>
      </c>
      <c r="D27" s="58"/>
      <c r="E27" s="7"/>
      <c r="F27" s="7"/>
      <c r="G27" s="7"/>
      <c r="H27" s="7"/>
      <c r="I27" s="7"/>
    </row>
    <row r="28" spans="1:10" ht="15" customHeight="1">
      <c r="A28" s="115" t="s">
        <v>1117</v>
      </c>
      <c r="B28" s="116"/>
      <c r="C28" s="65">
        <f>SUM('Stavební rozpočet'!AA12:AA525)</f>
        <v>0</v>
      </c>
      <c r="D28" s="115" t="s">
        <v>1131</v>
      </c>
      <c r="E28" s="116"/>
      <c r="F28" s="65">
        <f>ROUND(C28*(15/100),2)</f>
        <v>0</v>
      </c>
      <c r="G28" s="115" t="s">
        <v>1146</v>
      </c>
      <c r="H28" s="116"/>
      <c r="I28" s="65">
        <f>SUM(C27:C29)</f>
        <v>0</v>
      </c>
      <c r="J28" s="34"/>
    </row>
    <row r="29" spans="1:10" ht="15" customHeight="1">
      <c r="A29" s="115" t="s">
        <v>1118</v>
      </c>
      <c r="B29" s="116"/>
      <c r="C29" s="65">
        <f>SUM('Stavební rozpočet'!AB12:AB525)+(F22+I22+F23+I23+I24+I25)</f>
        <v>0</v>
      </c>
      <c r="D29" s="115" t="s">
        <v>1132</v>
      </c>
      <c r="E29" s="116"/>
      <c r="F29" s="65">
        <f>ROUND(C29*(21/100),2)</f>
        <v>0</v>
      </c>
      <c r="G29" s="115" t="s">
        <v>1147</v>
      </c>
      <c r="H29" s="116"/>
      <c r="I29" s="65">
        <f>SUM(F28:F29)+I28</f>
        <v>0</v>
      </c>
      <c r="J29" s="34"/>
    </row>
    <row r="30" spans="1:9" ht="12.75">
      <c r="A30" s="53"/>
      <c r="B30" s="53"/>
      <c r="C30" s="53"/>
      <c r="D30" s="53"/>
      <c r="E30" s="53"/>
      <c r="F30" s="53"/>
      <c r="G30" s="53"/>
      <c r="H30" s="53"/>
      <c r="I30" s="53"/>
    </row>
    <row r="31" spans="1:10" ht="14.25" customHeight="1">
      <c r="A31" s="117" t="s">
        <v>1119</v>
      </c>
      <c r="B31" s="118"/>
      <c r="C31" s="119"/>
      <c r="D31" s="117" t="s">
        <v>1133</v>
      </c>
      <c r="E31" s="118"/>
      <c r="F31" s="119"/>
      <c r="G31" s="117" t="s">
        <v>1148</v>
      </c>
      <c r="H31" s="118"/>
      <c r="I31" s="119"/>
      <c r="J31" s="35"/>
    </row>
    <row r="32" spans="1:10" ht="14.25" customHeight="1">
      <c r="A32" s="120"/>
      <c r="B32" s="121"/>
      <c r="C32" s="122"/>
      <c r="D32" s="120"/>
      <c r="E32" s="121"/>
      <c r="F32" s="122"/>
      <c r="G32" s="120"/>
      <c r="H32" s="121"/>
      <c r="I32" s="122"/>
      <c r="J32" s="35"/>
    </row>
    <row r="33" spans="1:10" ht="14.25" customHeight="1">
      <c r="A33" s="120"/>
      <c r="B33" s="121"/>
      <c r="C33" s="122"/>
      <c r="D33" s="120"/>
      <c r="E33" s="121"/>
      <c r="F33" s="122"/>
      <c r="G33" s="120"/>
      <c r="H33" s="121"/>
      <c r="I33" s="122"/>
      <c r="J33" s="35"/>
    </row>
    <row r="34" spans="1:10" ht="14.25" customHeight="1">
      <c r="A34" s="120"/>
      <c r="B34" s="121"/>
      <c r="C34" s="122"/>
      <c r="D34" s="120"/>
      <c r="E34" s="121"/>
      <c r="F34" s="122"/>
      <c r="G34" s="120"/>
      <c r="H34" s="121"/>
      <c r="I34" s="122"/>
      <c r="J34" s="35"/>
    </row>
    <row r="35" spans="1:10" ht="14.25" customHeight="1">
      <c r="A35" s="123" t="s">
        <v>1120</v>
      </c>
      <c r="B35" s="124"/>
      <c r="C35" s="125"/>
      <c r="D35" s="123" t="s">
        <v>1120</v>
      </c>
      <c r="E35" s="124"/>
      <c r="F35" s="125"/>
      <c r="G35" s="123" t="s">
        <v>1120</v>
      </c>
      <c r="H35" s="124"/>
      <c r="I35" s="125"/>
      <c r="J35" s="35"/>
    </row>
    <row r="36" spans="1:9" ht="11.25" customHeight="1">
      <c r="A36" s="54" t="s">
        <v>255</v>
      </c>
      <c r="B36" s="56"/>
      <c r="C36" s="56"/>
      <c r="D36" s="56"/>
      <c r="E36" s="56"/>
      <c r="F36" s="56"/>
      <c r="G36" s="56"/>
      <c r="H36" s="56"/>
      <c r="I36" s="56"/>
    </row>
    <row r="37" spans="1:9" ht="409.5" customHeight="1" hidden="1">
      <c r="A37" s="80"/>
      <c r="B37" s="72"/>
      <c r="C37" s="72"/>
      <c r="D37" s="72"/>
      <c r="E37" s="72"/>
      <c r="F37" s="72"/>
      <c r="G37" s="72"/>
      <c r="H37" s="72"/>
      <c r="I37" s="72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Fabiánková Eva</cp:lastModifiedBy>
  <dcterms:modified xsi:type="dcterms:W3CDTF">2017-05-29T06:57:53Z</dcterms:modified>
  <cp:category/>
  <cp:version/>
  <cp:contentType/>
  <cp:contentStatus/>
</cp:coreProperties>
</file>