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<sst xmlns="http://schemas.openxmlformats.org/spreadsheetml/2006/main" count="832" uniqueCount="405">
  <si>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</si>
  <si>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</si>
  <si>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</si>
  <si>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</si>
  <si>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</si>
  <si>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</si>
  <si>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</si>
  <si>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</si>
  <si>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</si>
  <si>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</si>
  <si>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</si>
  <si>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</si>
  <si>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</si>
  <si>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</si>
  <si>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</si>
  <si>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</si>
  <si>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</si>
  <si>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</si>
  <si>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</si>
  <si>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</si>
  <si>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</si>
  <si>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</si>
  <si>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</si>
  <si>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</si>
  <si>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</si>
  <si>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</si>
  <si>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</si>
  <si>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</si>
  <si>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</si>
  <si>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</si>
  <si>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</si>
  <si>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</si>
  <si>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</si>
  <si>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</si>
  <si>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</si>
  <si>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</si>
  <si>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</si>
  <si>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</si>
  <si>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</si>
  <si>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</si>
  <si>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</si>
  <si>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</si>
  <si>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</si>
  <si>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</si>
  <si>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</si>
  <si>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</si>
  <si>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</si>
  <si>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</si>
  <si>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</si>
  <si>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</si>
  <si>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</si>
  <si>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</si>
  <si>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</si>
  <si>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</si>
  <si>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</si>
  <si>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</si>
  <si>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</si>
  <si>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</si>
  <si>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Poznámka:</t>
  </si>
  <si>
    <t>Objekt</t>
  </si>
  <si>
    <t>Kód</t>
  </si>
  <si>
    <t>122101102R00</t>
  </si>
  <si>
    <t>132201111R00</t>
  </si>
  <si>
    <t>162701105R00</t>
  </si>
  <si>
    <t>162702199R00</t>
  </si>
  <si>
    <t>162301101R00</t>
  </si>
  <si>
    <t>175101201R00</t>
  </si>
  <si>
    <t>58337344</t>
  </si>
  <si>
    <t>181300010RA0</t>
  </si>
  <si>
    <t>181101102R00</t>
  </si>
  <si>
    <t>212810010RAD</t>
  </si>
  <si>
    <t>274321116R00</t>
  </si>
  <si>
    <t>274351215R00</t>
  </si>
  <si>
    <t>274351216R00</t>
  </si>
  <si>
    <t>274313611R00</t>
  </si>
  <si>
    <t>274361821R00</t>
  </si>
  <si>
    <t>327111111R00</t>
  </si>
  <si>
    <t>592284000</t>
  </si>
  <si>
    <t>381181002R00</t>
  </si>
  <si>
    <t>59487449.A</t>
  </si>
  <si>
    <t>457542111R00</t>
  </si>
  <si>
    <t>56</t>
  </si>
  <si>
    <t>564861111R00</t>
  </si>
  <si>
    <t>564231111R00</t>
  </si>
  <si>
    <t>564851111R00</t>
  </si>
  <si>
    <t>569851111R00</t>
  </si>
  <si>
    <t>564271114R00</t>
  </si>
  <si>
    <t>561262211R00</t>
  </si>
  <si>
    <t>564871111R00</t>
  </si>
  <si>
    <t>457971112R00</t>
  </si>
  <si>
    <t>67352027</t>
  </si>
  <si>
    <t>59</t>
  </si>
  <si>
    <t>597661112R00</t>
  </si>
  <si>
    <t>596215040R00</t>
  </si>
  <si>
    <t>596291113R00</t>
  </si>
  <si>
    <t>59245308</t>
  </si>
  <si>
    <t>63</t>
  </si>
  <si>
    <t>639571215R00</t>
  </si>
  <si>
    <t>711</t>
  </si>
  <si>
    <t>711111001RZ1</t>
  </si>
  <si>
    <t>711112011RZ1</t>
  </si>
  <si>
    <t>767</t>
  </si>
  <si>
    <t>767900040RA0</t>
  </si>
  <si>
    <t>767911120R00</t>
  </si>
  <si>
    <t>900100002RA0</t>
  </si>
  <si>
    <t>91</t>
  </si>
  <si>
    <t>917862111RT7</t>
  </si>
  <si>
    <t>917862111R00</t>
  </si>
  <si>
    <t>59217421</t>
  </si>
  <si>
    <t>H01</t>
  </si>
  <si>
    <t>998011001R00</t>
  </si>
  <si>
    <t>979081111R00</t>
  </si>
  <si>
    <t>H22</t>
  </si>
  <si>
    <t>998223011R00</t>
  </si>
  <si>
    <t>M21VD</t>
  </si>
  <si>
    <t>210000000VD</t>
  </si>
  <si>
    <t>SO 701 - Náhradní výstavba garáží</t>
  </si>
  <si>
    <t>Kostelec nad Orlicí</t>
  </si>
  <si>
    <t>Zkrácený popis</t>
  </si>
  <si>
    <t>Rozměry</t>
  </si>
  <si>
    <t>Odkopávky a prokopávky</t>
  </si>
  <si>
    <t>Odkopávky nezapažené v hor. 2 do 1000 m3</t>
  </si>
  <si>
    <t>46,43+40,63+59,10+77,04+27,33+26,40+18,94</t>
  </si>
  <si>
    <t>162,60*0,45</t>
  </si>
  <si>
    <t>Jen v případě nedosažení požadovaného modulu přetvárnosti zemní pláně.</t>
  </si>
  <si>
    <t>Hloubené vykopávky</t>
  </si>
  <si>
    <t>Hloubení rýh š.do 60 cm v hor.3 do 100 m3, STROJNĚ</t>
  </si>
  <si>
    <t>0,50*0,50*(3,70+4,85)</t>
  </si>
  <si>
    <t>Přemístění výkopku</t>
  </si>
  <si>
    <t>Vodorovné přemístění výkopku z hor.1-4 do 10000 m</t>
  </si>
  <si>
    <t>295,87+11,26</t>
  </si>
  <si>
    <t>Poplatek za skládku zeminy</t>
  </si>
  <si>
    <t>Vodorovné přemístění výkopku z hor.1-4 do 500 m</t>
  </si>
  <si>
    <t>Konstrukce ze zemin</t>
  </si>
  <si>
    <t>Obsyp objektu bez prohození sypaniny</t>
  </si>
  <si>
    <t>(9,35+14,0+4,25)*0,19+6,01*2*0,36</t>
  </si>
  <si>
    <t>Štěrkopísek frakce 0-32 B</t>
  </si>
  <si>
    <t>9,57*2,0</t>
  </si>
  <si>
    <t>Povrchové úpravy terénu</t>
  </si>
  <si>
    <t>Rozprostření ornice v rovině tloušťka 15 cm</t>
  </si>
  <si>
    <t>(12,80+29,0+8,35)*0,60</t>
  </si>
  <si>
    <t>podél zárubní zdi, včetně osetí</t>
  </si>
  <si>
    <t>Úprava pláně v zářezech v hor. 1-4, se zhutněním</t>
  </si>
  <si>
    <t>Úprava podloží a základové spáry</t>
  </si>
  <si>
    <t>Trativody z PVC drenážních flexibilních trubek</t>
  </si>
  <si>
    <t>14,25+28,50+10,05</t>
  </si>
  <si>
    <t>včetně bet. lože a obsypu štěrkopískem d 160 mm</t>
  </si>
  <si>
    <t>Základy</t>
  </si>
  <si>
    <t>Železobeton zákl. pásů z cem. portladských C 16/20</t>
  </si>
  <si>
    <t>0,30*0,80*6,01*4+0,40*0,845*6,01*4</t>
  </si>
  <si>
    <t>Bednění stěn základových pasů - zřízení</t>
  </si>
  <si>
    <t>(0,44*3+0,27*11+0,40+0,45)*6,10+(0,30*8+0,40*8)*0,27</t>
  </si>
  <si>
    <t>Bednění stěn základových pasů - odstranění</t>
  </si>
  <si>
    <t>Beton základových pasů prostý C 16/20</t>
  </si>
  <si>
    <t>0,25*(9,75+28,05+4,25)</t>
  </si>
  <si>
    <t>základ zárubní zdi</t>
  </si>
  <si>
    <t>(0,25+0,45)*(9,75+28,05+4,25)+4*0,70*0,45</t>
  </si>
  <si>
    <t>Výztuž základových pasů z betonářské oceli 10 505</t>
  </si>
  <si>
    <t>4*8*5,90*0,000888+(24*1,88*4+24*2,08*4)*0,000395</t>
  </si>
  <si>
    <t>Zdi přehradní a opěrné</t>
  </si>
  <si>
    <t>Osazení svahových tvárnic, hmotnosti do 30 kg</t>
  </si>
  <si>
    <t>(2,125+0,75)/2*27,59+(2,125+0,125)/2*10,30+(0,75+0,125)/2*4,60</t>
  </si>
  <si>
    <t>Tvarovka svahová přírodní</t>
  </si>
  <si>
    <t>53,26/0,125/0,30</t>
  </si>
  <si>
    <t>;ztratné 1%; 14,2027</t>
  </si>
  <si>
    <t>Různé kompletní konstrukce nedělitelné do stav. dílů</t>
  </si>
  <si>
    <t>Montáž garážových buněk v jednopodlažní sestavě</t>
  </si>
  <si>
    <t>Garáž prefa kompletizovaná výkl. vrata  6010x2870x2400</t>
  </si>
  <si>
    <t>Podkladní a vedlejší konstrukce (kromě vozovek a železničního svršku)</t>
  </si>
  <si>
    <t>Filtrační vrstvy ze zhutněné štěrkodrti 0-63 mm</t>
  </si>
  <si>
    <t>0,875*10,30+1,19*27,59+0,19*4,60</t>
  </si>
  <si>
    <t>zásyp za zárubní zdí</t>
  </si>
  <si>
    <t>Podkladní vrstvy komunikací a zpevněných ploch</t>
  </si>
  <si>
    <t>Podklad ze štěrkodrti po zhutnění tloušťky 20 cm</t>
  </si>
  <si>
    <t>(2,38*4+2,49*2)*6,01</t>
  </si>
  <si>
    <t>Podklad ze štěrkopísku po zhutnění tloušťky 10 cm</t>
  </si>
  <si>
    <t>(0,30*4+0,40*4)*6,01</t>
  </si>
  <si>
    <t>Podklad ze štěrkodrti po zhutnění tloušťky 15 cm</t>
  </si>
  <si>
    <t>162,60*2</t>
  </si>
  <si>
    <t>vrstva 0-32 mm + vrstva 8-16 mm</t>
  </si>
  <si>
    <t>Zpevnění krajnic štěrkodrtí tloušťky  15 cm</t>
  </si>
  <si>
    <t>10,0*2*0,65</t>
  </si>
  <si>
    <t>Podklad ze štěrkopísku po zhutnění tloušťky 28 cm</t>
  </si>
  <si>
    <t>(10,30+27,59-2*6,01+4,60)*1,30+2*6,01*1,70</t>
  </si>
  <si>
    <t>proměnná tloušťka 160 - 380 mm</t>
  </si>
  <si>
    <t>Podklad z kameniva ztmeleného cementem tl. 20 cm</t>
  </si>
  <si>
    <t>162,60</t>
  </si>
  <si>
    <t>Podklad ze štěrkodrti po zhutnění tloušťky 30 cm</t>
  </si>
  <si>
    <t>Zřízení vrstvy z geotextilie skl.do 1:5,š.do 7,5 m</t>
  </si>
  <si>
    <t>Geotextilie silniční PK-Tex PP 60 230 g/m2</t>
  </si>
  <si>
    <t>;ztratné 5%; 8,13</t>
  </si>
  <si>
    <t>Dlažby a předlažby pozemních komunikací a zpevněných ploch</t>
  </si>
  <si>
    <t>Rigol dlážděný do lože C-/7,5 tl.10cm kostky velké</t>
  </si>
  <si>
    <t>41,72*0,30+0,31+0,84</t>
  </si>
  <si>
    <t>Kladení zámkové dlažby tl. 8 cm do drtě tl. 4 cm</t>
  </si>
  <si>
    <t>Řezání zámkové dlažby tl. 80 mm</t>
  </si>
  <si>
    <t>Dlažba zámková přírodní  20x10x8</t>
  </si>
  <si>
    <t>154,71</t>
  </si>
  <si>
    <t>;ztratné 1%; 1,5471</t>
  </si>
  <si>
    <t>Podlahy a podlahové konstrukce</t>
  </si>
  <si>
    <t>Okapový chodník podél budovy z kačírku tl. 150 mm</t>
  </si>
  <si>
    <t>(8,65*2+14,0)*0,50+6,001*2*0,88</t>
  </si>
  <si>
    <t>Izolace proti vodě</t>
  </si>
  <si>
    <t>Izolace proti vlhkosti vodor. nátěr ALP za studena</t>
  </si>
  <si>
    <t>(9,75+28,05+4,25)*(0,25+0,40)</t>
  </si>
  <si>
    <t>Izolace proti vlhkosti svis. asf. susp. za studena</t>
  </si>
  <si>
    <t>27,33*2</t>
  </si>
  <si>
    <t>Konstrukce doplňkové stavební (zámečnické)</t>
  </si>
  <si>
    <t>Demontáž oplocení z pletiva</t>
  </si>
  <si>
    <t>5,75+15,0+2*3,0</t>
  </si>
  <si>
    <t>Montáž oplocení z pletiva v.do 1,6 m,napínací drát</t>
  </si>
  <si>
    <t>2*3,0</t>
  </si>
  <si>
    <t>Oplocení z poplastovaného pletiva, ocelové sloupky</t>
  </si>
  <si>
    <t>0,1557+0,0188</t>
  </si>
  <si>
    <t>Doplňující konstrukce a práce na pozemních komunikacích a zpevněných plochách</t>
  </si>
  <si>
    <t>Osazení stojat. obrub.bet. s opěrou,lože z C 20/25 nXF3</t>
  </si>
  <si>
    <t>2,83+2,94+2,83+2,63+1,48+1,84+2,90+3,26+14,0+2*0,49</t>
  </si>
  <si>
    <t>včetně dodávky obrubníku 100/15/25</t>
  </si>
  <si>
    <t>8,65*2</t>
  </si>
  <si>
    <t>Obrubník chodníkový ABO 14-10 1000/100/250</t>
  </si>
  <si>
    <t>;ztratné 1%; 0,173</t>
  </si>
  <si>
    <t>Budovy občanské výstavby</t>
  </si>
  <si>
    <t>Přesun hmot pro budovy zděné výšky do 6 m</t>
  </si>
  <si>
    <t>Odvoz suti a vybour. hmot na skládku do 1 km</t>
  </si>
  <si>
    <t>Komunikace pozemní a letiště</t>
  </si>
  <si>
    <t>Přesun hmot, pozemní komunikace, kryt dlážděný</t>
  </si>
  <si>
    <t>Elektromontáže</t>
  </si>
  <si>
    <t>Elektromontáže silnoproud celkem</t>
  </si>
  <si>
    <t>Doba výstavby:</t>
  </si>
  <si>
    <t>Začátek výstavby:</t>
  </si>
  <si>
    <t>Konec výstavby:</t>
  </si>
  <si>
    <t>Zpracováno dne:</t>
  </si>
  <si>
    <t>M.j.</t>
  </si>
  <si>
    <t>m3</t>
  </si>
  <si>
    <t>t</t>
  </si>
  <si>
    <t>m2</t>
  </si>
  <si>
    <t>m</t>
  </si>
  <si>
    <t>kus</t>
  </si>
  <si>
    <t>100 m</t>
  </si>
  <si>
    <t>Kč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</si>
  <si>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</si>
  <si>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</si>
  <si>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</si>
  <si>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</si>
  <si>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</si>
  <si>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</si>
  <si>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</si>
  <si>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</si>
  <si>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</si>
  <si>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</si>
  <si>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</si>
  <si>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</si>
  <si>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</si>
  <si>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</si>
  <si>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</si>
  <si>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</si>
  <si>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II / 2015</t>
  </si>
  <si>
    <t>RTS I / 2016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</si>
  <si>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</si>
  <si>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</si>
  <si>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</si>
  <si>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</si>
  <si>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</si>
  <si>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</si>
  <si>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</si>
  <si>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</si>
  <si>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</si>
  <si>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</si>
  <si>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</si>
  <si>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</si>
  <si>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</si>
  <si>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</si>
  <si>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</si>
  <si>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</si>
  <si>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</si>
  <si>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18_</t>
  </si>
  <si>
    <t>21_</t>
  </si>
  <si>
    <t>27_</t>
  </si>
  <si>
    <t>32_</t>
  </si>
  <si>
    <t>38_</t>
  </si>
  <si>
    <t>45_</t>
  </si>
  <si>
    <t>56_</t>
  </si>
  <si>
    <t>59_</t>
  </si>
  <si>
    <t>63_</t>
  </si>
  <si>
    <t>711_</t>
  </si>
  <si>
    <t>767_</t>
  </si>
  <si>
    <t>91_</t>
  </si>
  <si>
    <t>H01_</t>
  </si>
  <si>
    <t>H22_</t>
  </si>
  <si>
    <t>M21VD_</t>
  </si>
  <si>
    <t>1_</t>
  </si>
  <si>
    <t>2_</t>
  </si>
  <si>
    <t>3_</t>
  </si>
  <si>
    <t>4_</t>
  </si>
  <si>
    <t>5_</t>
  </si>
  <si>
    <t>6_</t>
  </si>
  <si>
    <t>71_</t>
  </si>
  <si>
    <t>76_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</si>
  <si>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</si>
  <si>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</si>
  <si>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</si>
  <si>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</si>
  <si>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</si>
  <si>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</si>
  <si>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</si>
  <si>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</si>
  <si>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</si>
  <si>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</si>
  <si>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</si>
  <si>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</si>
  <si>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</si>
  <si>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</si>
  <si>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</si>
  <si>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</si>
  <si>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</si>
  <si>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</si>
  <si>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</si>
  <si>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</si>
  <si>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</si>
  <si>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</si>
  <si>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</si>
  <si>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</si>
  <si>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</si>
  <si>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</si>
  <si>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</si>
  <si>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</si>
  <si>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</si>
  <si>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</si>
  <si>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</si>
  <si>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</si>
  <si>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</si>
  <si>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</si>
  <si>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</si>
  <si>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</si>
  <si>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</si>
  <si>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</si>
  <si>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</si>
  <si>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</si>
  <si>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</si>
  <si>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</si>
  <si>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</si>
  <si>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</si>
  <si>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</si>
  <si>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</si>
  <si>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0,30*0,53*6,01*3+0,40*0,575*6,01*4+0,30*0,40*6,01 </t>
  </si>
  <si>
    <t xml:space="preserve"> 59</t>
  </si>
  <si>
    <t>597101035RAA</t>
  </si>
  <si>
    <t>Žlab odvodňovací polymerbeton, zatížení D400 kN</t>
  </si>
  <si>
    <t>RTS II / 2016</t>
  </si>
  <si>
    <t>včetně dodávky žlabu a roštu RONN</t>
  </si>
  <si>
    <t>87</t>
  </si>
  <si>
    <t>Potrubí z trub plastických, skleněných a čedičových</t>
  </si>
  <si>
    <t>871313121RT2</t>
  </si>
  <si>
    <t>Montáž trub z plastu, gumový kroužek, DN 150</t>
  </si>
  <si>
    <t>včetně dodávky trub PVC hrdlových 160x4,0x5000 - odvodnění žlabu</t>
  </si>
  <si>
    <t>871251121R00</t>
  </si>
  <si>
    <t>Montáž trubek polyetylenových ve výkopu d 110 mm</t>
  </si>
  <si>
    <t>28614058</t>
  </si>
  <si>
    <t>Chránička plynová PEHD d 110 x 4,2 x 6000 mm</t>
  </si>
  <si>
    <t>139601102R00</t>
  </si>
  <si>
    <t>Ruční výkop jam, rýh a šachet v hornině tř. 3</t>
  </si>
  <si>
    <t>0,60*0,85*3,0*2+0,60*1,17*3,0+0,60*0,28*4,55</t>
  </si>
  <si>
    <t>výkopy pro chráničky</t>
  </si>
  <si>
    <t>5,93-1,96</t>
  </si>
  <si>
    <t>121101101R00</t>
  </si>
  <si>
    <t>Sejmutí ornice s přemístěním do 50 m</t>
  </si>
  <si>
    <t>Přípravné a přidružené práce</t>
  </si>
  <si>
    <t>52</t>
  </si>
  <si>
    <t>111201101R00</t>
  </si>
  <si>
    <t>Odstranění křovin i s kořeny na ploše do 1000 m2</t>
  </si>
  <si>
    <t>53</t>
  </si>
  <si>
    <t>112101101R00</t>
  </si>
  <si>
    <t>Kácení stromů listnatých o průměru kmene 10-30 cm</t>
  </si>
  <si>
    <t>bříza 4 ks, dub 2 ks, ořešák 1 ks, trnka 1 ks, jabloň 1 ks</t>
  </si>
  <si>
    <t>54</t>
  </si>
  <si>
    <t>112201101R00</t>
  </si>
  <si>
    <t>Odstranění pařezů pod úrovní, o průměru 10 - 30 cm</t>
  </si>
  <si>
    <t>55</t>
  </si>
  <si>
    <t>175101101RT2</t>
  </si>
  <si>
    <t>Obsyp potrubí bez prohození sypaniny</t>
  </si>
  <si>
    <t>(7,50+8,80)*0,60*0,33+7,50*0,60*0,37</t>
  </si>
  <si>
    <t>s dodáním štěrkopísku frakce 0 - 22 mm</t>
  </si>
  <si>
    <t>174101101R00</t>
  </si>
  <si>
    <t>Zásyp jam, rýh, šachet se zhutněním</t>
  </si>
  <si>
    <t>0,60*0,27*3,0*2+0,60*0,55*3,0</t>
  </si>
  <si>
    <t>57</t>
  </si>
  <si>
    <t>451573111R00</t>
  </si>
  <si>
    <t>Lože pod potrubí ze štěrkopísku do 63 mm</t>
  </si>
  <si>
    <t>( 7,50+7,50+8,80)*0,60*0,10</t>
  </si>
  <si>
    <t>M23</t>
  </si>
  <si>
    <t>Montáže potrubí</t>
  </si>
  <si>
    <t>58</t>
  </si>
  <si>
    <t>230200100VD</t>
  </si>
  <si>
    <t>Chránička půlená 110 D+M</t>
  </si>
  <si>
    <t>6,50+7,80</t>
  </si>
  <si>
    <t>899711122R00</t>
  </si>
  <si>
    <t>Fólie výstražná z PVC, šířka 30 cm</t>
  </si>
  <si>
    <t>7,50*2+8,80</t>
  </si>
  <si>
    <t>60</t>
  </si>
  <si>
    <t>61</t>
  </si>
  <si>
    <t>62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</si>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</sst>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0"/>
      <color indexed="61"/>
      <name val="Arial"/>
      <family val="2"/>
    </font>
    <font>
      <i/>
      <sz val="10"/>
      <color indexed="61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4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3" fillId="34" borderId="34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3"/>
  <sheetViews>
    <sheetView tabSelected="1" zoomScalePageLayoutView="0" workbookViewId="0" topLeftCell="A79">
      <selection activeCell="A170" sqref="A17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1.8515625" style="0" customWidth="1"/>
    <col min="5" max="5" width="6.14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2.75">
      <c r="A2" s="88" t="s">
        <v>1</v>
      </c>
      <c r="B2" s="89"/>
      <c r="C2" s="89"/>
      <c r="D2" s="90" t="s">
        <v>116</v>
      </c>
      <c r="E2" s="92" t="s">
        <v>228</v>
      </c>
      <c r="F2" s="89"/>
      <c r="G2" s="92"/>
      <c r="H2" s="89"/>
      <c r="I2" s="93" t="s">
        <v>246</v>
      </c>
      <c r="J2" s="93"/>
      <c r="K2" s="89"/>
      <c r="L2" s="89"/>
      <c r="M2" s="94"/>
      <c r="N2" s="34"/>
    </row>
    <row r="3" spans="1:14" ht="12.75">
      <c r="A3" s="85"/>
      <c r="B3" s="66"/>
      <c r="C3" s="66"/>
      <c r="D3" s="91"/>
      <c r="E3" s="66"/>
      <c r="F3" s="66"/>
      <c r="G3" s="66"/>
      <c r="H3" s="66"/>
      <c r="I3" s="66"/>
      <c r="J3" s="66"/>
      <c r="K3" s="66"/>
      <c r="L3" s="66"/>
      <c r="M3" s="83"/>
      <c r="N3" s="34"/>
    </row>
    <row r="4" spans="1:14" ht="12.75">
      <c r="A4" s="78" t="s">
        <v>2</v>
      </c>
      <c r="B4" s="66"/>
      <c r="C4" s="66"/>
      <c r="D4" s="65"/>
      <c r="E4" s="81" t="s">
        <v>229</v>
      </c>
      <c r="F4" s="66"/>
      <c r="G4" s="81" t="s">
        <v>6</v>
      </c>
      <c r="H4" s="66"/>
      <c r="I4" s="65" t="s">
        <v>247</v>
      </c>
      <c r="J4" s="65"/>
      <c r="K4" s="66"/>
      <c r="L4" s="66"/>
      <c r="M4" s="83"/>
      <c r="N4" s="34"/>
    </row>
    <row r="5" spans="1:14" ht="12.75">
      <c r="A5" s="8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83"/>
      <c r="N5" s="34"/>
    </row>
    <row r="6" spans="1:14" ht="12.75">
      <c r="A6" s="78" t="s">
        <v>3</v>
      </c>
      <c r="B6" s="66"/>
      <c r="C6" s="66"/>
      <c r="D6" s="65" t="s">
        <v>117</v>
      </c>
      <c r="E6" s="81" t="s">
        <v>230</v>
      </c>
      <c r="F6" s="66"/>
      <c r="G6" s="66"/>
      <c r="H6" s="66"/>
      <c r="I6" s="65" t="s">
        <v>248</v>
      </c>
      <c r="J6" s="65"/>
      <c r="K6" s="66"/>
      <c r="L6" s="66"/>
      <c r="M6" s="83"/>
      <c r="N6" s="34"/>
    </row>
    <row r="7" spans="1:14" ht="12.75">
      <c r="A7" s="8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83"/>
      <c r="N7" s="34"/>
    </row>
    <row r="8" spans="1:14" ht="12.75">
      <c r="A8" s="78" t="s">
        <v>4</v>
      </c>
      <c r="B8" s="66"/>
      <c r="C8" s="66"/>
      <c r="D8" s="65"/>
      <c r="E8" s="81" t="s">
        <v>231</v>
      </c>
      <c r="F8" s="66"/>
      <c r="G8" s="82">
        <v>42450</v>
      </c>
      <c r="H8" s="66"/>
      <c r="I8" s="65" t="s">
        <v>249</v>
      </c>
      <c r="J8" s="65" t="s">
        <v>251</v>
      </c>
      <c r="K8" s="66"/>
      <c r="L8" s="66"/>
      <c r="M8" s="83"/>
      <c r="N8" s="34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4"/>
      <c r="N9" s="34"/>
    </row>
    <row r="10" spans="1:14" ht="12.75">
      <c r="A10" s="1" t="s">
        <v>5</v>
      </c>
      <c r="B10" s="10" t="s">
        <v>59</v>
      </c>
      <c r="C10" s="10" t="s">
        <v>60</v>
      </c>
      <c r="D10" s="10" t="s">
        <v>118</v>
      </c>
      <c r="E10" s="10" t="s">
        <v>232</v>
      </c>
      <c r="F10" s="17" t="s">
        <v>240</v>
      </c>
      <c r="G10" s="22" t="s">
        <v>241</v>
      </c>
      <c r="H10" s="73" t="s">
        <v>243</v>
      </c>
      <c r="I10" s="74"/>
      <c r="J10" s="75"/>
      <c r="K10" s="73" t="s">
        <v>253</v>
      </c>
      <c r="L10" s="75"/>
      <c r="M10" s="29" t="s">
        <v>254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119</v>
      </c>
      <c r="E11" s="11" t="s">
        <v>6</v>
      </c>
      <c r="F11" s="11" t="s">
        <v>6</v>
      </c>
      <c r="G11" s="23" t="s">
        <v>242</v>
      </c>
      <c r="H11" s="24" t="s">
        <v>244</v>
      </c>
      <c r="I11" s="25" t="s">
        <v>250</v>
      </c>
      <c r="J11" s="26" t="s">
        <v>252</v>
      </c>
      <c r="K11" s="24" t="s">
        <v>241</v>
      </c>
      <c r="L11" s="26" t="s">
        <v>252</v>
      </c>
      <c r="M11" s="30" t="s">
        <v>255</v>
      </c>
      <c r="N11" s="35"/>
      <c r="P11" s="28" t="s">
        <v>259</v>
      </c>
      <c r="Q11" s="28" t="s">
        <v>260</v>
      </c>
      <c r="R11" s="28" t="s">
        <v>264</v>
      </c>
      <c r="S11" s="28" t="s">
        <v>265</v>
      </c>
      <c r="T11" s="28" t="s">
        <v>266</v>
      </c>
      <c r="U11" s="28" t="s">
        <v>267</v>
      </c>
      <c r="V11" s="28" t="s">
        <v>268</v>
      </c>
      <c r="W11" s="28" t="s">
        <v>269</v>
      </c>
      <c r="X11" s="28" t="s">
        <v>270</v>
      </c>
    </row>
    <row r="12" spans="1:37" ht="12.75">
      <c r="A12" s="3"/>
      <c r="B12" s="12"/>
      <c r="C12" s="12" t="s">
        <v>18</v>
      </c>
      <c r="D12" s="76" t="s">
        <v>120</v>
      </c>
      <c r="E12" s="77"/>
      <c r="F12" s="77"/>
      <c r="G12" s="77"/>
      <c r="H12" s="38">
        <f>SUM(H13:H15)</f>
        <v>0</v>
      </c>
      <c r="I12" s="38">
        <f>SUM(I13:I15)</f>
        <v>0</v>
      </c>
      <c r="J12" s="38">
        <f>H12+I12</f>
        <v>0</v>
      </c>
      <c r="K12" s="27"/>
      <c r="L12" s="38">
        <f>SUM(L13:L15)</f>
        <v>0</v>
      </c>
      <c r="M12" s="27"/>
      <c r="P12" s="39">
        <f>IF(Q12="PR",J12,SUM(O13:O15))</f>
        <v>0</v>
      </c>
      <c r="Q12" s="28" t="s">
        <v>261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SUM(Z13:Z15)</f>
        <v>0</v>
      </c>
      <c r="AJ12" s="39">
        <f>SUM(AA13:AA15)</f>
        <v>0</v>
      </c>
      <c r="AK12" s="39">
        <f>SUM(AB13:AB15)</f>
        <v>0</v>
      </c>
    </row>
    <row r="13" spans="1:43" ht="12.75">
      <c r="A13" s="4" t="s">
        <v>7</v>
      </c>
      <c r="B13" s="4"/>
      <c r="C13" s="4" t="s">
        <v>61</v>
      </c>
      <c r="D13" s="4" t="s">
        <v>121</v>
      </c>
      <c r="E13" s="4" t="s">
        <v>233</v>
      </c>
      <c r="F13" s="18">
        <v>295.87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0</v>
      </c>
      <c r="L13" s="18">
        <f>F13*K13</f>
        <v>0</v>
      </c>
      <c r="M13" s="31" t="s">
        <v>256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271</v>
      </c>
      <c r="AP13" s="37" t="s">
        <v>290</v>
      </c>
      <c r="AQ13" s="28" t="s">
        <v>299</v>
      </c>
    </row>
    <row r="14" spans="4:6" ht="12.75">
      <c r="D14" s="16" t="s">
        <v>122</v>
      </c>
      <c r="F14" s="19">
        <v>295.87</v>
      </c>
    </row>
    <row r="15" spans="1:43" ht="12.75">
      <c r="A15" s="4" t="s">
        <v>8</v>
      </c>
      <c r="B15" s="4"/>
      <c r="C15" s="4" t="s">
        <v>61</v>
      </c>
      <c r="D15" s="4" t="s">
        <v>121</v>
      </c>
      <c r="E15" s="4" t="s">
        <v>233</v>
      </c>
      <c r="F15" s="18">
        <v>73.17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</v>
      </c>
      <c r="L15" s="18">
        <f>F15*K15</f>
        <v>0</v>
      </c>
      <c r="M15" s="31" t="s">
        <v>257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271</v>
      </c>
      <c r="AP15" s="37" t="s">
        <v>290</v>
      </c>
      <c r="AQ15" s="28" t="s">
        <v>299</v>
      </c>
    </row>
    <row r="16" spans="4:6" ht="12.75">
      <c r="D16" s="16" t="s">
        <v>123</v>
      </c>
      <c r="F16" s="19">
        <v>73.17</v>
      </c>
    </row>
    <row r="17" spans="3:13" ht="12.75">
      <c r="C17" s="14" t="s">
        <v>58</v>
      </c>
      <c r="D17" s="69" t="s">
        <v>124</v>
      </c>
      <c r="E17" s="70"/>
      <c r="F17" s="70"/>
      <c r="G17" s="70"/>
      <c r="H17" s="70"/>
      <c r="I17" s="70"/>
      <c r="J17" s="70"/>
      <c r="K17" s="70"/>
      <c r="L17" s="70"/>
      <c r="M17" s="70"/>
    </row>
    <row r="18" spans="1:37" ht="12.75">
      <c r="A18" s="5"/>
      <c r="B18" s="13"/>
      <c r="C18" s="13" t="s">
        <v>19</v>
      </c>
      <c r="D18" s="67" t="s">
        <v>125</v>
      </c>
      <c r="E18" s="68"/>
      <c r="F18" s="68"/>
      <c r="G18" s="68"/>
      <c r="H18" s="39">
        <f>SUM(H19:H19)</f>
        <v>0</v>
      </c>
      <c r="I18" s="39">
        <f>SUM(I19:I19)</f>
        <v>0</v>
      </c>
      <c r="J18" s="39">
        <f>H18+I18</f>
        <v>0</v>
      </c>
      <c r="K18" s="28"/>
      <c r="L18" s="39">
        <f>SUM(L19:L19)</f>
        <v>0</v>
      </c>
      <c r="M18" s="28"/>
      <c r="P18" s="39">
        <f>IF(Q18="PR",J18,SUM(O19:O19))</f>
        <v>0</v>
      </c>
      <c r="Q18" s="28" t="s">
        <v>261</v>
      </c>
      <c r="R18" s="39">
        <f>IF(Q18="HS",H18,0)</f>
        <v>0</v>
      </c>
      <c r="S18" s="39">
        <f>IF(Q18="HS",I18-P18,0)</f>
        <v>0</v>
      </c>
      <c r="T18" s="39">
        <f>IF(Q18="PS",H18,0)</f>
        <v>0</v>
      </c>
      <c r="U18" s="39">
        <f>IF(Q18="PS",I18-P18,0)</f>
        <v>0</v>
      </c>
      <c r="V18" s="39">
        <f>IF(Q18="MP",H18,0)</f>
        <v>0</v>
      </c>
      <c r="W18" s="39">
        <f>IF(Q18="MP",I18-P18,0)</f>
        <v>0</v>
      </c>
      <c r="X18" s="39">
        <f>IF(Q18="OM",H18,0)</f>
        <v>0</v>
      </c>
      <c r="Y18" s="28"/>
      <c r="AI18" s="39">
        <f>SUM(Z19:Z19)</f>
        <v>0</v>
      </c>
      <c r="AJ18" s="39">
        <f>SUM(AA19:AA19)</f>
        <v>0</v>
      </c>
      <c r="AK18" s="39">
        <f>SUM(AB19:AB19)</f>
        <v>0</v>
      </c>
    </row>
    <row r="19" spans="1:43" ht="12.75">
      <c r="A19" s="4" t="s">
        <v>9</v>
      </c>
      <c r="B19" s="4"/>
      <c r="C19" s="4" t="s">
        <v>62</v>
      </c>
      <c r="D19" s="4" t="s">
        <v>126</v>
      </c>
      <c r="E19" s="4" t="s">
        <v>233</v>
      </c>
      <c r="F19" s="18">
        <v>11.26</v>
      </c>
      <c r="G19" s="18">
        <v>0</v>
      </c>
      <c r="H19" s="18">
        <f>F19*AE19</f>
        <v>0</v>
      </c>
      <c r="I19" s="18">
        <f>J19-H19</f>
        <v>0</v>
      </c>
      <c r="J19" s="18">
        <f>F19*G19</f>
        <v>0</v>
      </c>
      <c r="K19" s="18">
        <v>0</v>
      </c>
      <c r="L19" s="18">
        <f>F19*K19</f>
        <v>0</v>
      </c>
      <c r="M19" s="31" t="s">
        <v>256</v>
      </c>
      <c r="N19" s="31" t="s">
        <v>7</v>
      </c>
      <c r="O19" s="18">
        <f>IF(N19="5",I19,0)</f>
        <v>0</v>
      </c>
      <c r="Z19" s="18">
        <f>IF(AD19=0,J19,0)</f>
        <v>0</v>
      </c>
      <c r="AA19" s="18">
        <f>IF(AD19=15,J19,0)</f>
        <v>0</v>
      </c>
      <c r="AB19" s="18">
        <f>IF(AD19=21,J19,0)</f>
        <v>0</v>
      </c>
      <c r="AD19" s="36">
        <v>21</v>
      </c>
      <c r="AE19" s="36">
        <f>G19*0</f>
        <v>0</v>
      </c>
      <c r="AF19" s="36">
        <f>G19*(1-0)</f>
        <v>0</v>
      </c>
      <c r="AM19" s="36">
        <f>F19*AE19</f>
        <v>0</v>
      </c>
      <c r="AN19" s="36">
        <f>F19*AF19</f>
        <v>0</v>
      </c>
      <c r="AO19" s="37" t="s">
        <v>272</v>
      </c>
      <c r="AP19" s="37" t="s">
        <v>290</v>
      </c>
      <c r="AQ19" s="28" t="s">
        <v>299</v>
      </c>
    </row>
    <row r="20" spans="4:6" ht="12.75">
      <c r="D20" s="16" t="s">
        <v>344</v>
      </c>
      <c r="F20" s="19">
        <v>9.12</v>
      </c>
    </row>
    <row r="21" spans="4:6" ht="12.75">
      <c r="D21" s="16" t="s">
        <v>127</v>
      </c>
      <c r="F21" s="19">
        <v>2.14</v>
      </c>
    </row>
    <row r="22" spans="1:37" ht="12.75">
      <c r="A22" s="5"/>
      <c r="B22" s="13"/>
      <c r="C22" s="13" t="s">
        <v>22</v>
      </c>
      <c r="D22" s="67" t="s">
        <v>128</v>
      </c>
      <c r="E22" s="68"/>
      <c r="F22" s="68"/>
      <c r="G22" s="68"/>
      <c r="H22" s="39">
        <f>SUM(H23:H29)</f>
        <v>0</v>
      </c>
      <c r="I22" s="39">
        <f>SUM(I23:I29)</f>
        <v>0</v>
      </c>
      <c r="J22" s="39">
        <f>H22+I22</f>
        <v>0</v>
      </c>
      <c r="K22" s="28"/>
      <c r="L22" s="39">
        <f>SUM(L23:L29)</f>
        <v>0</v>
      </c>
      <c r="M22" s="28"/>
      <c r="P22" s="39">
        <f>IF(Q22="PR",J22,SUM(O23:O29))</f>
        <v>0</v>
      </c>
      <c r="Q22" s="28" t="s">
        <v>261</v>
      </c>
      <c r="R22" s="39">
        <f>IF(Q22="HS",H22,0)</f>
        <v>0</v>
      </c>
      <c r="S22" s="39">
        <f>IF(Q22="HS",I22-P22,0)</f>
        <v>0</v>
      </c>
      <c r="T22" s="39">
        <f>IF(Q22="PS",H22,0)</f>
        <v>0</v>
      </c>
      <c r="U22" s="39">
        <f>IF(Q22="PS",I22-P22,0)</f>
        <v>0</v>
      </c>
      <c r="V22" s="39">
        <f>IF(Q22="MP",H22,0)</f>
        <v>0</v>
      </c>
      <c r="W22" s="39">
        <f>IF(Q22="MP",I22-P22,0)</f>
        <v>0</v>
      </c>
      <c r="X22" s="39">
        <f>IF(Q22="OM",H22,0)</f>
        <v>0</v>
      </c>
      <c r="Y22" s="28"/>
      <c r="AI22" s="39">
        <f>SUM(Z23:Z29)</f>
        <v>0</v>
      </c>
      <c r="AJ22" s="39">
        <f>SUM(AA23:AA29)</f>
        <v>0</v>
      </c>
      <c r="AK22" s="39">
        <f>SUM(AB23:AB29)</f>
        <v>0</v>
      </c>
    </row>
    <row r="23" spans="1:43" ht="12.75">
      <c r="A23" s="4" t="s">
        <v>10</v>
      </c>
      <c r="B23" s="4"/>
      <c r="C23" s="4" t="s">
        <v>63</v>
      </c>
      <c r="D23" s="4" t="s">
        <v>129</v>
      </c>
      <c r="E23" s="4" t="s">
        <v>233</v>
      </c>
      <c r="F23" s="18">
        <v>307.13</v>
      </c>
      <c r="G23" s="18">
        <v>0</v>
      </c>
      <c r="H23" s="18">
        <f>F23*AE23</f>
        <v>0</v>
      </c>
      <c r="I23" s="18">
        <f>J23-H23</f>
        <v>0</v>
      </c>
      <c r="J23" s="18">
        <f>F23*G23</f>
        <v>0</v>
      </c>
      <c r="K23" s="18">
        <v>0</v>
      </c>
      <c r="L23" s="18">
        <f>F23*K23</f>
        <v>0</v>
      </c>
      <c r="M23" s="31" t="s">
        <v>256</v>
      </c>
      <c r="N23" s="31" t="s">
        <v>7</v>
      </c>
      <c r="O23" s="18">
        <f>IF(N23="5",I23,0)</f>
        <v>0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6">
        <v>21</v>
      </c>
      <c r="AE23" s="36">
        <f>G23*0</f>
        <v>0</v>
      </c>
      <c r="AF23" s="36">
        <f>G23*(1-0)</f>
        <v>0</v>
      </c>
      <c r="AM23" s="36">
        <f>F23*AE23</f>
        <v>0</v>
      </c>
      <c r="AN23" s="36">
        <f>F23*AF23</f>
        <v>0</v>
      </c>
      <c r="AO23" s="37" t="s">
        <v>273</v>
      </c>
      <c r="AP23" s="37" t="s">
        <v>290</v>
      </c>
      <c r="AQ23" s="28" t="s">
        <v>299</v>
      </c>
    </row>
    <row r="24" spans="4:6" ht="12.75">
      <c r="D24" s="16" t="s">
        <v>130</v>
      </c>
      <c r="F24" s="19">
        <v>307.13</v>
      </c>
    </row>
    <row r="25" spans="1:43" ht="12.75">
      <c r="A25" s="4" t="s">
        <v>11</v>
      </c>
      <c r="B25" s="4"/>
      <c r="C25" s="4" t="s">
        <v>64</v>
      </c>
      <c r="D25" s="4" t="s">
        <v>131</v>
      </c>
      <c r="E25" s="4" t="s">
        <v>233</v>
      </c>
      <c r="F25" s="18">
        <v>307.13</v>
      </c>
      <c r="G25" s="18">
        <v>0</v>
      </c>
      <c r="H25" s="18">
        <f>F25*AE25</f>
        <v>0</v>
      </c>
      <c r="I25" s="18">
        <f>J25-H25</f>
        <v>0</v>
      </c>
      <c r="J25" s="18">
        <f>F25*G25</f>
        <v>0</v>
      </c>
      <c r="K25" s="18">
        <v>0</v>
      </c>
      <c r="L25" s="18">
        <f>F25*K25</f>
        <v>0</v>
      </c>
      <c r="M25" s="31" t="s">
        <v>256</v>
      </c>
      <c r="N25" s="31" t="s">
        <v>7</v>
      </c>
      <c r="O25" s="18">
        <f>IF(N25="5",I25,0)</f>
        <v>0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M25" s="36">
        <f>F25*AE25</f>
        <v>0</v>
      </c>
      <c r="AN25" s="36">
        <f>F25*AF25</f>
        <v>0</v>
      </c>
      <c r="AO25" s="37" t="s">
        <v>273</v>
      </c>
      <c r="AP25" s="37" t="s">
        <v>290</v>
      </c>
      <c r="AQ25" s="28" t="s">
        <v>299</v>
      </c>
    </row>
    <row r="26" spans="1:43" ht="12.75">
      <c r="A26" s="4" t="s">
        <v>12</v>
      </c>
      <c r="B26" s="4"/>
      <c r="C26" s="4" t="s">
        <v>65</v>
      </c>
      <c r="D26" s="4" t="s">
        <v>132</v>
      </c>
      <c r="E26" s="4" t="s">
        <v>233</v>
      </c>
      <c r="F26" s="18">
        <v>9.57</v>
      </c>
      <c r="G26" s="18">
        <v>0</v>
      </c>
      <c r="H26" s="18">
        <f>F26*AE26</f>
        <v>0</v>
      </c>
      <c r="I26" s="18">
        <f>J26-H26</f>
        <v>0</v>
      </c>
      <c r="J26" s="18">
        <f>F26*G26</f>
        <v>0</v>
      </c>
      <c r="K26" s="18">
        <v>0</v>
      </c>
      <c r="L26" s="18">
        <f>F26*K26</f>
        <v>0</v>
      </c>
      <c r="M26" s="31" t="s">
        <v>256</v>
      </c>
      <c r="N26" s="31" t="s">
        <v>7</v>
      </c>
      <c r="O26" s="18">
        <f>IF(N26="5",I26,0)</f>
        <v>0</v>
      </c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6">
        <v>21</v>
      </c>
      <c r="AE26" s="36">
        <f>G26*0</f>
        <v>0</v>
      </c>
      <c r="AF26" s="36">
        <f>G26*(1-0)</f>
        <v>0</v>
      </c>
      <c r="AM26" s="36">
        <f>F26*AE26</f>
        <v>0</v>
      </c>
      <c r="AN26" s="36">
        <f>F26*AF26</f>
        <v>0</v>
      </c>
      <c r="AO26" s="37" t="s">
        <v>273</v>
      </c>
      <c r="AP26" s="37" t="s">
        <v>290</v>
      </c>
      <c r="AQ26" s="28" t="s">
        <v>299</v>
      </c>
    </row>
    <row r="27" spans="1:43" ht="12.75">
      <c r="A27" s="4" t="s">
        <v>13</v>
      </c>
      <c r="B27" s="4"/>
      <c r="C27" s="4" t="s">
        <v>63</v>
      </c>
      <c r="D27" s="4" t="s">
        <v>129</v>
      </c>
      <c r="E27" s="4" t="s">
        <v>233</v>
      </c>
      <c r="F27" s="18">
        <v>73.17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</v>
      </c>
      <c r="L27" s="18">
        <f>F27*K27</f>
        <v>0</v>
      </c>
      <c r="M27" s="31" t="s">
        <v>257</v>
      </c>
      <c r="N27" s="31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273</v>
      </c>
      <c r="AP27" s="37" t="s">
        <v>290</v>
      </c>
      <c r="AQ27" s="28" t="s">
        <v>299</v>
      </c>
    </row>
    <row r="28" spans="3:13" ht="12.75">
      <c r="C28" s="14" t="s">
        <v>58</v>
      </c>
      <c r="D28" s="69" t="s">
        <v>124</v>
      </c>
      <c r="E28" s="70"/>
      <c r="F28" s="70"/>
      <c r="G28" s="70"/>
      <c r="H28" s="70"/>
      <c r="I28" s="70"/>
      <c r="J28" s="70"/>
      <c r="K28" s="70"/>
      <c r="L28" s="70"/>
      <c r="M28" s="70"/>
    </row>
    <row r="29" spans="1:43" ht="12.75">
      <c r="A29" s="4" t="s">
        <v>14</v>
      </c>
      <c r="B29" s="4"/>
      <c r="C29" s="4" t="s">
        <v>64</v>
      </c>
      <c r="D29" s="4" t="s">
        <v>131</v>
      </c>
      <c r="E29" s="4" t="s">
        <v>233</v>
      </c>
      <c r="F29" s="18">
        <v>73.17</v>
      </c>
      <c r="G29" s="18">
        <v>0</v>
      </c>
      <c r="H29" s="18">
        <f>F29*AE29</f>
        <v>0</v>
      </c>
      <c r="I29" s="18">
        <f>J29-H29</f>
        <v>0</v>
      </c>
      <c r="J29" s="18">
        <f>F29*G29</f>
        <v>0</v>
      </c>
      <c r="K29" s="18">
        <v>0</v>
      </c>
      <c r="L29" s="18">
        <f>F29*K29</f>
        <v>0</v>
      </c>
      <c r="M29" s="31" t="s">
        <v>257</v>
      </c>
      <c r="N29" s="31" t="s">
        <v>7</v>
      </c>
      <c r="O29" s="18">
        <f>IF(N29="5",I29,0)</f>
        <v>0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6">
        <v>21</v>
      </c>
      <c r="AE29" s="36">
        <f>G29*0</f>
        <v>0</v>
      </c>
      <c r="AF29" s="36">
        <f>G29*(1-0)</f>
        <v>0</v>
      </c>
      <c r="AM29" s="36">
        <f>F29*AE29</f>
        <v>0</v>
      </c>
      <c r="AN29" s="36">
        <f>F29*AF29</f>
        <v>0</v>
      </c>
      <c r="AO29" s="37" t="s">
        <v>273</v>
      </c>
      <c r="AP29" s="37" t="s">
        <v>290</v>
      </c>
      <c r="AQ29" s="28" t="s">
        <v>299</v>
      </c>
    </row>
    <row r="30" spans="3:13" ht="12.75">
      <c r="C30" s="14" t="s">
        <v>58</v>
      </c>
      <c r="D30" s="69" t="s">
        <v>124</v>
      </c>
      <c r="E30" s="70"/>
      <c r="F30" s="70"/>
      <c r="G30" s="70"/>
      <c r="H30" s="70"/>
      <c r="I30" s="70"/>
      <c r="J30" s="70"/>
      <c r="K30" s="70"/>
      <c r="L30" s="70"/>
      <c r="M30" s="70"/>
    </row>
    <row r="31" spans="1:37" ht="12.75">
      <c r="A31" s="5"/>
      <c r="B31" s="13"/>
      <c r="C31" s="13" t="s">
        <v>23</v>
      </c>
      <c r="D31" s="67" t="s">
        <v>133</v>
      </c>
      <c r="E31" s="68"/>
      <c r="F31" s="68"/>
      <c r="G31" s="68"/>
      <c r="H31" s="39">
        <f>SUM(H32:H34)</f>
        <v>0</v>
      </c>
      <c r="I31" s="39">
        <f>SUM(I32:I34)</f>
        <v>0</v>
      </c>
      <c r="J31" s="39">
        <f>H31+I31</f>
        <v>0</v>
      </c>
      <c r="K31" s="28"/>
      <c r="L31" s="39">
        <f>SUM(L32:L34)</f>
        <v>19.14</v>
      </c>
      <c r="M31" s="28"/>
      <c r="P31" s="39">
        <f>IF(Q31="PR",J31,SUM(O32:O34))</f>
        <v>0</v>
      </c>
      <c r="Q31" s="28" t="s">
        <v>261</v>
      </c>
      <c r="R31" s="39">
        <f>IF(Q31="HS",H31,0)</f>
        <v>0</v>
      </c>
      <c r="S31" s="39">
        <f>IF(Q31="HS",I31-P31,0)</f>
        <v>0</v>
      </c>
      <c r="T31" s="39">
        <f>IF(Q31="PS",H31,0)</f>
        <v>0</v>
      </c>
      <c r="U31" s="39">
        <f>IF(Q31="PS",I31-P31,0)</f>
        <v>0</v>
      </c>
      <c r="V31" s="39">
        <f>IF(Q31="MP",H31,0)</f>
        <v>0</v>
      </c>
      <c r="W31" s="39">
        <f>IF(Q31="MP",I31-P31,0)</f>
        <v>0</v>
      </c>
      <c r="X31" s="39">
        <f>IF(Q31="OM",H31,0)</f>
        <v>0</v>
      </c>
      <c r="Y31" s="28"/>
      <c r="AI31" s="39">
        <f>SUM(Z32:Z34)</f>
        <v>0</v>
      </c>
      <c r="AJ31" s="39">
        <f>SUM(AA32:AA34)</f>
        <v>0</v>
      </c>
      <c r="AK31" s="39">
        <f>SUM(AB32:AB34)</f>
        <v>0</v>
      </c>
    </row>
    <row r="32" spans="1:43" ht="12.75">
      <c r="A32" s="4" t="s">
        <v>15</v>
      </c>
      <c r="B32" s="4"/>
      <c r="C32" s="4" t="s">
        <v>66</v>
      </c>
      <c r="D32" s="4" t="s">
        <v>134</v>
      </c>
      <c r="E32" s="4" t="s">
        <v>233</v>
      </c>
      <c r="F32" s="18">
        <v>9.57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</v>
      </c>
      <c r="L32" s="18">
        <f>F32*K32</f>
        <v>0</v>
      </c>
      <c r="M32" s="31" t="s">
        <v>256</v>
      </c>
      <c r="N32" s="31" t="s">
        <v>7</v>
      </c>
      <c r="O32" s="18">
        <f>IF(N32="5",I32,0)</f>
        <v>0</v>
      </c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6">
        <v>21</v>
      </c>
      <c r="AE32" s="36">
        <f>G32*0</f>
        <v>0</v>
      </c>
      <c r="AF32" s="36">
        <f>G32*(1-0)</f>
        <v>0</v>
      </c>
      <c r="AM32" s="36">
        <f>F32*AE32</f>
        <v>0</v>
      </c>
      <c r="AN32" s="36">
        <f>F32*AF32</f>
        <v>0</v>
      </c>
      <c r="AO32" s="37" t="s">
        <v>274</v>
      </c>
      <c r="AP32" s="37" t="s">
        <v>290</v>
      </c>
      <c r="AQ32" s="28" t="s">
        <v>299</v>
      </c>
    </row>
    <row r="33" spans="4:6" ht="12.75">
      <c r="D33" s="16" t="s">
        <v>135</v>
      </c>
      <c r="F33" s="19">
        <v>9.57</v>
      </c>
    </row>
    <row r="34" spans="1:43" ht="12.75">
      <c r="A34" s="6" t="s">
        <v>16</v>
      </c>
      <c r="B34" s="6"/>
      <c r="C34" s="6" t="s">
        <v>67</v>
      </c>
      <c r="D34" s="6" t="s">
        <v>136</v>
      </c>
      <c r="E34" s="6" t="s">
        <v>234</v>
      </c>
      <c r="F34" s="20">
        <v>19.14</v>
      </c>
      <c r="G34" s="20">
        <v>0</v>
      </c>
      <c r="H34" s="20">
        <f>F34*AE34</f>
        <v>0</v>
      </c>
      <c r="I34" s="20">
        <f>J34-H34</f>
        <v>0</v>
      </c>
      <c r="J34" s="20">
        <f>F34*G34</f>
        <v>0</v>
      </c>
      <c r="K34" s="20">
        <v>1</v>
      </c>
      <c r="L34" s="20">
        <f>F34*K34</f>
        <v>19.14</v>
      </c>
      <c r="M34" s="32" t="s">
        <v>256</v>
      </c>
      <c r="N34" s="32" t="s">
        <v>258</v>
      </c>
      <c r="O34" s="20">
        <f>IF(N34="5",I34,0)</f>
        <v>0</v>
      </c>
      <c r="Z34" s="20">
        <f>IF(AD34=0,J34,0)</f>
        <v>0</v>
      </c>
      <c r="AA34" s="20">
        <f>IF(AD34=15,J34,0)</f>
        <v>0</v>
      </c>
      <c r="AB34" s="20">
        <f>IF(AD34=21,J34,0)</f>
        <v>0</v>
      </c>
      <c r="AD34" s="36">
        <v>21</v>
      </c>
      <c r="AE34" s="36">
        <f>G34*1</f>
        <v>0</v>
      </c>
      <c r="AF34" s="36">
        <f>G34*(1-1)</f>
        <v>0</v>
      </c>
      <c r="AM34" s="36">
        <f>F34*AE34</f>
        <v>0</v>
      </c>
      <c r="AN34" s="36">
        <f>F34*AF34</f>
        <v>0</v>
      </c>
      <c r="AO34" s="37" t="s">
        <v>274</v>
      </c>
      <c r="AP34" s="37" t="s">
        <v>290</v>
      </c>
      <c r="AQ34" s="28" t="s">
        <v>299</v>
      </c>
    </row>
    <row r="35" spans="4:6" ht="12.75">
      <c r="D35" s="16" t="s">
        <v>137</v>
      </c>
      <c r="F35" s="19">
        <v>19.14</v>
      </c>
    </row>
    <row r="36" spans="1:37" ht="12.75">
      <c r="A36" s="5"/>
      <c r="B36" s="13"/>
      <c r="C36" s="13" t="s">
        <v>24</v>
      </c>
      <c r="D36" s="67" t="s">
        <v>138</v>
      </c>
      <c r="E36" s="68"/>
      <c r="F36" s="68"/>
      <c r="G36" s="68"/>
      <c r="H36" s="39">
        <f>SUM(H37:H40)</f>
        <v>0</v>
      </c>
      <c r="I36" s="39">
        <f>SUM(I37:I40)</f>
        <v>0</v>
      </c>
      <c r="J36" s="39">
        <f>H36+I36</f>
        <v>0</v>
      </c>
      <c r="K36" s="28"/>
      <c r="L36" s="39">
        <f>SUM(L37:L40)</f>
        <v>0.0009027</v>
      </c>
      <c r="M36" s="28"/>
      <c r="P36" s="39">
        <f>IF(Q36="PR",J36,SUM(O37:O40))</f>
        <v>0</v>
      </c>
      <c r="Q36" s="28" t="s">
        <v>261</v>
      </c>
      <c r="R36" s="39">
        <f>IF(Q36="HS",H36,0)</f>
        <v>0</v>
      </c>
      <c r="S36" s="39">
        <f>IF(Q36="HS",I36-P36,0)</f>
        <v>0</v>
      </c>
      <c r="T36" s="39">
        <f>IF(Q36="PS",H36,0)</f>
        <v>0</v>
      </c>
      <c r="U36" s="39">
        <f>IF(Q36="PS",I36-P36,0)</f>
        <v>0</v>
      </c>
      <c r="V36" s="39">
        <f>IF(Q36="MP",H36,0)</f>
        <v>0</v>
      </c>
      <c r="W36" s="39">
        <f>IF(Q36="MP",I36-P36,0)</f>
        <v>0</v>
      </c>
      <c r="X36" s="39">
        <f>IF(Q36="OM",H36,0)</f>
        <v>0</v>
      </c>
      <c r="Y36" s="28"/>
      <c r="AI36" s="39">
        <f>SUM(Z37:Z40)</f>
        <v>0</v>
      </c>
      <c r="AJ36" s="39">
        <f>SUM(AA37:AA40)</f>
        <v>0</v>
      </c>
      <c r="AK36" s="39">
        <f>SUM(AB37:AB40)</f>
        <v>0</v>
      </c>
    </row>
    <row r="37" spans="1:43" ht="12.75">
      <c r="A37" s="4" t="s">
        <v>17</v>
      </c>
      <c r="B37" s="4"/>
      <c r="C37" s="4" t="s">
        <v>68</v>
      </c>
      <c r="D37" s="4" t="s">
        <v>139</v>
      </c>
      <c r="E37" s="4" t="s">
        <v>235</v>
      </c>
      <c r="F37" s="18">
        <v>30.09</v>
      </c>
      <c r="G37" s="18">
        <v>0</v>
      </c>
      <c r="H37" s="18">
        <f>F37*AE37</f>
        <v>0</v>
      </c>
      <c r="I37" s="18">
        <f>J37-H37</f>
        <v>0</v>
      </c>
      <c r="J37" s="18">
        <f>F37*G37</f>
        <v>0</v>
      </c>
      <c r="K37" s="18">
        <v>3E-05</v>
      </c>
      <c r="L37" s="18">
        <f>F37*K37</f>
        <v>0.0009027</v>
      </c>
      <c r="M37" s="31" t="s">
        <v>256</v>
      </c>
      <c r="N37" s="31" t="s">
        <v>9</v>
      </c>
      <c r="O37" s="18">
        <f>IF(N37="5",I37,0)</f>
        <v>0</v>
      </c>
      <c r="Z37" s="18">
        <f>IF(AD37=0,J37,0)</f>
        <v>0</v>
      </c>
      <c r="AA37" s="18">
        <f>IF(AD37=15,J37,0)</f>
        <v>0</v>
      </c>
      <c r="AB37" s="18">
        <f>IF(AD37=21,J37,0)</f>
        <v>0</v>
      </c>
      <c r="AD37" s="36">
        <v>21</v>
      </c>
      <c r="AE37" s="36">
        <f>G37*0.0620499279884782</f>
        <v>0</v>
      </c>
      <c r="AF37" s="36">
        <f>G37*(1-0.0620499279884782)</f>
        <v>0</v>
      </c>
      <c r="AM37" s="36">
        <f>F37*AE37</f>
        <v>0</v>
      </c>
      <c r="AN37" s="36">
        <f>F37*AF37</f>
        <v>0</v>
      </c>
      <c r="AO37" s="37" t="s">
        <v>275</v>
      </c>
      <c r="AP37" s="37" t="s">
        <v>290</v>
      </c>
      <c r="AQ37" s="28" t="s">
        <v>299</v>
      </c>
    </row>
    <row r="38" spans="4:6" ht="12.75">
      <c r="D38" s="16" t="s">
        <v>140</v>
      </c>
      <c r="F38" s="19">
        <v>30.09</v>
      </c>
    </row>
    <row r="39" spans="3:13" ht="12.75">
      <c r="C39" s="14" t="s">
        <v>58</v>
      </c>
      <c r="D39" s="69" t="s">
        <v>141</v>
      </c>
      <c r="E39" s="70"/>
      <c r="F39" s="70"/>
      <c r="G39" s="70"/>
      <c r="H39" s="70"/>
      <c r="I39" s="70"/>
      <c r="J39" s="70"/>
      <c r="K39" s="70"/>
      <c r="L39" s="70"/>
      <c r="M39" s="70"/>
    </row>
    <row r="40" spans="1:43" ht="12.75">
      <c r="A40" s="4" t="s">
        <v>18</v>
      </c>
      <c r="B40" s="4"/>
      <c r="C40" s="4" t="s">
        <v>69</v>
      </c>
      <c r="D40" s="4" t="s">
        <v>142</v>
      </c>
      <c r="E40" s="4" t="s">
        <v>235</v>
      </c>
      <c r="F40" s="18">
        <v>162.6</v>
      </c>
      <c r="G40" s="18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</v>
      </c>
      <c r="L40" s="18">
        <f>F40*K40</f>
        <v>0</v>
      </c>
      <c r="M40" s="31" t="s">
        <v>257</v>
      </c>
      <c r="N40" s="31" t="s">
        <v>7</v>
      </c>
      <c r="O40" s="18">
        <f>IF(N40="5",I40,0)</f>
        <v>0</v>
      </c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M40" s="36">
        <f>F40*AE40</f>
        <v>0</v>
      </c>
      <c r="AN40" s="36">
        <f>F40*AF40</f>
        <v>0</v>
      </c>
      <c r="AO40" s="37" t="s">
        <v>275</v>
      </c>
      <c r="AP40" s="37" t="s">
        <v>290</v>
      </c>
      <c r="AQ40" s="28" t="s">
        <v>299</v>
      </c>
    </row>
    <row r="41" spans="1:37" ht="12.75">
      <c r="A41" s="5"/>
      <c r="B41" s="13"/>
      <c r="C41" s="13" t="s">
        <v>27</v>
      </c>
      <c r="D41" s="67" t="s">
        <v>143</v>
      </c>
      <c r="E41" s="68"/>
      <c r="F41" s="68"/>
      <c r="G41" s="68"/>
      <c r="H41" s="39">
        <f>SUM(H42:H42)</f>
        <v>0</v>
      </c>
      <c r="I41" s="39">
        <f>SUM(I42:I42)</f>
        <v>0</v>
      </c>
      <c r="J41" s="39">
        <f>H41+I41</f>
        <v>0</v>
      </c>
      <c r="K41" s="28"/>
      <c r="L41" s="39">
        <f>SUM(L42:L42)</f>
        <v>22.747823999999998</v>
      </c>
      <c r="M41" s="28"/>
      <c r="P41" s="39">
        <f>IF(Q41="PR",J41,SUM(O42:O42))</f>
        <v>0</v>
      </c>
      <c r="Q41" s="28" t="s">
        <v>261</v>
      </c>
      <c r="R41" s="39">
        <f>IF(Q41="HS",H41,0)</f>
        <v>0</v>
      </c>
      <c r="S41" s="39">
        <f>IF(Q41="HS",I41-P41,0)</f>
        <v>0</v>
      </c>
      <c r="T41" s="39">
        <f>IF(Q41="PS",H41,0)</f>
        <v>0</v>
      </c>
      <c r="U41" s="39">
        <f>IF(Q41="PS",I41-P41,0)</f>
        <v>0</v>
      </c>
      <c r="V41" s="39">
        <f>IF(Q41="MP",H41,0)</f>
        <v>0</v>
      </c>
      <c r="W41" s="39">
        <f>IF(Q41="MP",I41-P41,0)</f>
        <v>0</v>
      </c>
      <c r="X41" s="39">
        <f>IF(Q41="OM",H41,0)</f>
        <v>0</v>
      </c>
      <c r="Y41" s="28"/>
      <c r="AI41" s="39">
        <f>SUM(Z42:Z42)</f>
        <v>0</v>
      </c>
      <c r="AJ41" s="39">
        <f>SUM(AA42:AA42)</f>
        <v>0</v>
      </c>
      <c r="AK41" s="39">
        <f>SUM(AB42:AB42)</f>
        <v>0</v>
      </c>
    </row>
    <row r="42" spans="1:43" ht="12.75">
      <c r="A42" s="4" t="s">
        <v>19</v>
      </c>
      <c r="B42" s="4"/>
      <c r="C42" s="4" t="s">
        <v>70</v>
      </c>
      <c r="D42" s="4" t="s">
        <v>144</v>
      </c>
      <c r="E42" s="4" t="s">
        <v>236</v>
      </c>
      <c r="F42" s="18">
        <v>52.8</v>
      </c>
      <c r="G42" s="18">
        <v>0</v>
      </c>
      <c r="H42" s="18">
        <f>F42*AE42</f>
        <v>0</v>
      </c>
      <c r="I42" s="18">
        <f>J42-H42</f>
        <v>0</v>
      </c>
      <c r="J42" s="18">
        <f>F42*G42</f>
        <v>0</v>
      </c>
      <c r="K42" s="18">
        <v>0.43083</v>
      </c>
      <c r="L42" s="18">
        <f>F42*K42</f>
        <v>22.747823999999998</v>
      </c>
      <c r="M42" s="31" t="s">
        <v>256</v>
      </c>
      <c r="N42" s="31" t="s">
        <v>9</v>
      </c>
      <c r="O42" s="18">
        <f>IF(N42="5",I42,0)</f>
        <v>0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21</v>
      </c>
      <c r="AE42" s="36">
        <f>G42*0.504012674337065</f>
        <v>0</v>
      </c>
      <c r="AF42" s="36">
        <f>G42*(1-0.504012674337065)</f>
        <v>0</v>
      </c>
      <c r="AM42" s="36">
        <f>F42*AE42</f>
        <v>0</v>
      </c>
      <c r="AN42" s="36">
        <f>F42*AF42</f>
        <v>0</v>
      </c>
      <c r="AO42" s="37" t="s">
        <v>276</v>
      </c>
      <c r="AP42" s="37" t="s">
        <v>291</v>
      </c>
      <c r="AQ42" s="28" t="s">
        <v>299</v>
      </c>
    </row>
    <row r="43" spans="4:6" ht="12.75">
      <c r="D43" s="16" t="s">
        <v>145</v>
      </c>
      <c r="F43" s="19">
        <v>52.8</v>
      </c>
    </row>
    <row r="44" spans="3:13" ht="12.75">
      <c r="C44" s="14" t="s">
        <v>58</v>
      </c>
      <c r="D44" s="69" t="s">
        <v>146</v>
      </c>
      <c r="E44" s="70"/>
      <c r="F44" s="70"/>
      <c r="G44" s="70"/>
      <c r="H44" s="70"/>
      <c r="I44" s="70"/>
      <c r="J44" s="70"/>
      <c r="K44" s="70"/>
      <c r="L44" s="70"/>
      <c r="M44" s="70"/>
    </row>
    <row r="45" spans="1:37" ht="12.75">
      <c r="A45" s="5"/>
      <c r="B45" s="13"/>
      <c r="C45" s="13" t="s">
        <v>33</v>
      </c>
      <c r="D45" s="67" t="s">
        <v>147</v>
      </c>
      <c r="E45" s="68"/>
      <c r="F45" s="68"/>
      <c r="G45" s="68"/>
      <c r="H45" s="39">
        <f>SUM(H46:H57)</f>
        <v>0</v>
      </c>
      <c r="I45" s="39">
        <f>SUM(I46:I57)</f>
        <v>0</v>
      </c>
      <c r="J45" s="39">
        <f>H45+I45</f>
        <v>0</v>
      </c>
      <c r="K45" s="28"/>
      <c r="L45" s="39">
        <f>SUM(L46:L57)</f>
        <v>64.4514224</v>
      </c>
      <c r="M45" s="28"/>
      <c r="P45" s="39">
        <f>IF(Q45="PR",J45,SUM(O46:O57))</f>
        <v>0</v>
      </c>
      <c r="Q45" s="28" t="s">
        <v>261</v>
      </c>
      <c r="R45" s="39">
        <f>IF(Q45="HS",H45,0)</f>
        <v>0</v>
      </c>
      <c r="S45" s="39">
        <f>IF(Q45="HS",I45-P45,0)</f>
        <v>0</v>
      </c>
      <c r="T45" s="39">
        <f>IF(Q45="PS",H45,0)</f>
        <v>0</v>
      </c>
      <c r="U45" s="39">
        <f>IF(Q45="PS",I45-P45,0)</f>
        <v>0</v>
      </c>
      <c r="V45" s="39">
        <f>IF(Q45="MP",H45,0)</f>
        <v>0</v>
      </c>
      <c r="W45" s="39">
        <f>IF(Q45="MP",I45-P45,0)</f>
        <v>0</v>
      </c>
      <c r="X45" s="39">
        <f>IF(Q45="OM",H45,0)</f>
        <v>0</v>
      </c>
      <c r="Y45" s="28"/>
      <c r="AI45" s="39">
        <f>SUM(Z46:Z57)</f>
        <v>0</v>
      </c>
      <c r="AJ45" s="39">
        <f>SUM(AA46:AA57)</f>
        <v>0</v>
      </c>
      <c r="AK45" s="39">
        <f>SUM(AB46:AB57)</f>
        <v>0</v>
      </c>
    </row>
    <row r="46" spans="1:43" ht="12.75">
      <c r="A46" s="4" t="s">
        <v>20</v>
      </c>
      <c r="B46" s="4"/>
      <c r="C46" s="4" t="s">
        <v>71</v>
      </c>
      <c r="D46" s="4" t="s">
        <v>148</v>
      </c>
      <c r="E46" s="4" t="s">
        <v>233</v>
      </c>
      <c r="F46" s="18">
        <v>13.9</v>
      </c>
      <c r="G46" s="18">
        <v>0</v>
      </c>
      <c r="H46" s="18">
        <f>F46*AE46</f>
        <v>0</v>
      </c>
      <c r="I46" s="18">
        <f>J46-H46</f>
        <v>0</v>
      </c>
      <c r="J46" s="18">
        <f>F46*G46</f>
        <v>0</v>
      </c>
      <c r="K46" s="18">
        <v>2.525</v>
      </c>
      <c r="L46" s="18">
        <f>F46*K46</f>
        <v>35.0975</v>
      </c>
      <c r="M46" s="31" t="s">
        <v>256</v>
      </c>
      <c r="N46" s="31" t="s">
        <v>7</v>
      </c>
      <c r="O46" s="18">
        <f>IF(N46="5",I46,0)</f>
        <v>0</v>
      </c>
      <c r="Z46" s="18">
        <f>IF(AD46=0,J46,0)</f>
        <v>0</v>
      </c>
      <c r="AA46" s="18">
        <f>IF(AD46=15,J46,0)</f>
        <v>0</v>
      </c>
      <c r="AB46" s="18">
        <f>IF(AD46=21,J46,0)</f>
        <v>0</v>
      </c>
      <c r="AD46" s="36">
        <v>21</v>
      </c>
      <c r="AE46" s="36">
        <f>G46*0.934770240700219</f>
        <v>0</v>
      </c>
      <c r="AF46" s="36">
        <f>G46*(1-0.934770240700219)</f>
        <v>0</v>
      </c>
      <c r="AM46" s="36">
        <f>F46*AE46</f>
        <v>0</v>
      </c>
      <c r="AN46" s="36">
        <f>F46*AF46</f>
        <v>0</v>
      </c>
      <c r="AO46" s="37" t="s">
        <v>277</v>
      </c>
      <c r="AP46" s="37" t="s">
        <v>291</v>
      </c>
      <c r="AQ46" s="28" t="s">
        <v>299</v>
      </c>
    </row>
    <row r="47" spans="4:6" ht="12.75">
      <c r="D47" s="16" t="s">
        <v>149</v>
      </c>
      <c r="F47" s="19">
        <v>13.9</v>
      </c>
    </row>
    <row r="48" spans="1:43" ht="12.75">
      <c r="A48" s="4" t="s">
        <v>21</v>
      </c>
      <c r="B48" s="4"/>
      <c r="C48" s="4" t="s">
        <v>72</v>
      </c>
      <c r="D48" s="4" t="s">
        <v>150</v>
      </c>
      <c r="E48" s="4" t="s">
        <v>235</v>
      </c>
      <c r="F48" s="18">
        <v>32.87</v>
      </c>
      <c r="G48" s="18">
        <v>0</v>
      </c>
      <c r="H48" s="18">
        <f>F48*AE48</f>
        <v>0</v>
      </c>
      <c r="I48" s="18">
        <f>J48-H48</f>
        <v>0</v>
      </c>
      <c r="J48" s="18">
        <f>F48*G48</f>
        <v>0</v>
      </c>
      <c r="K48" s="18">
        <v>0.03916</v>
      </c>
      <c r="L48" s="18">
        <f>F48*K48</f>
        <v>1.2871891999999998</v>
      </c>
      <c r="M48" s="31" t="s">
        <v>256</v>
      </c>
      <c r="N48" s="31" t="s">
        <v>7</v>
      </c>
      <c r="O48" s="18">
        <f>IF(N48="5",I48,0)</f>
        <v>0</v>
      </c>
      <c r="Z48" s="18">
        <f>IF(AD48=0,J48,0)</f>
        <v>0</v>
      </c>
      <c r="AA48" s="18">
        <f>IF(AD48=15,J48,0)</f>
        <v>0</v>
      </c>
      <c r="AB48" s="18">
        <f>IF(AD48=21,J48,0)</f>
        <v>0</v>
      </c>
      <c r="AD48" s="36">
        <v>21</v>
      </c>
      <c r="AE48" s="36">
        <f>G48*0.362691853600944</f>
        <v>0</v>
      </c>
      <c r="AF48" s="36">
        <f>G48*(1-0.362691853600944)</f>
        <v>0</v>
      </c>
      <c r="AM48" s="36">
        <f>F48*AE48</f>
        <v>0</v>
      </c>
      <c r="AN48" s="36">
        <f>F48*AF48</f>
        <v>0</v>
      </c>
      <c r="AO48" s="37" t="s">
        <v>277</v>
      </c>
      <c r="AP48" s="37" t="s">
        <v>291</v>
      </c>
      <c r="AQ48" s="28" t="s">
        <v>299</v>
      </c>
    </row>
    <row r="49" spans="4:6" ht="12.75">
      <c r="D49" s="16" t="s">
        <v>151</v>
      </c>
      <c r="F49" s="19">
        <v>32.87</v>
      </c>
    </row>
    <row r="50" spans="1:43" ht="12.75">
      <c r="A50" s="4" t="s">
        <v>22</v>
      </c>
      <c r="B50" s="4"/>
      <c r="C50" s="4" t="s">
        <v>73</v>
      </c>
      <c r="D50" s="4" t="s">
        <v>152</v>
      </c>
      <c r="E50" s="4" t="s">
        <v>235</v>
      </c>
      <c r="F50" s="18">
        <v>32.87</v>
      </c>
      <c r="G50" s="18">
        <v>0</v>
      </c>
      <c r="H50" s="18">
        <f>F50*AE50</f>
        <v>0</v>
      </c>
      <c r="I50" s="18">
        <f>J50-H50</f>
        <v>0</v>
      </c>
      <c r="J50" s="18">
        <f>F50*G50</f>
        <v>0</v>
      </c>
      <c r="K50" s="18">
        <v>0</v>
      </c>
      <c r="L50" s="18">
        <f>F50*K50</f>
        <v>0</v>
      </c>
      <c r="M50" s="31" t="s">
        <v>256</v>
      </c>
      <c r="N50" s="31" t="s">
        <v>7</v>
      </c>
      <c r="O50" s="18">
        <f>IF(N50="5",I50,0)</f>
        <v>0</v>
      </c>
      <c r="Z50" s="18">
        <f>IF(AD50=0,J50,0)</f>
        <v>0</v>
      </c>
      <c r="AA50" s="18">
        <f>IF(AD50=15,J50,0)</f>
        <v>0</v>
      </c>
      <c r="AB50" s="18">
        <f>IF(AD50=21,J50,0)</f>
        <v>0</v>
      </c>
      <c r="AD50" s="36">
        <v>21</v>
      </c>
      <c r="AE50" s="36">
        <f>G50*0</f>
        <v>0</v>
      </c>
      <c r="AF50" s="36">
        <f>G50*(1-0)</f>
        <v>0</v>
      </c>
      <c r="AM50" s="36">
        <f>F50*AE50</f>
        <v>0</v>
      </c>
      <c r="AN50" s="36">
        <f>F50*AF50</f>
        <v>0</v>
      </c>
      <c r="AO50" s="37" t="s">
        <v>277</v>
      </c>
      <c r="AP50" s="37" t="s">
        <v>291</v>
      </c>
      <c r="AQ50" s="28" t="s">
        <v>299</v>
      </c>
    </row>
    <row r="51" spans="1:43" ht="12.75">
      <c r="A51" s="4" t="s">
        <v>23</v>
      </c>
      <c r="B51" s="4"/>
      <c r="C51" s="4" t="s">
        <v>74</v>
      </c>
      <c r="D51" s="4" t="s">
        <v>153</v>
      </c>
      <c r="E51" s="4" t="s">
        <v>233</v>
      </c>
      <c r="F51" s="18">
        <v>10.51</v>
      </c>
      <c r="G51" s="18">
        <v>0</v>
      </c>
      <c r="H51" s="18">
        <f>F51*AE51</f>
        <v>0</v>
      </c>
      <c r="I51" s="18">
        <f>J51-H51</f>
        <v>0</v>
      </c>
      <c r="J51" s="18">
        <f>F51*G51</f>
        <v>0</v>
      </c>
      <c r="K51" s="18">
        <v>2.525</v>
      </c>
      <c r="L51" s="18">
        <f>F51*K51</f>
        <v>26.53775</v>
      </c>
      <c r="M51" s="31" t="s">
        <v>256</v>
      </c>
      <c r="N51" s="31" t="s">
        <v>7</v>
      </c>
      <c r="O51" s="18">
        <f>IF(N51="5",I51,0)</f>
        <v>0</v>
      </c>
      <c r="Z51" s="18">
        <f>IF(AD51=0,J51,0)</f>
        <v>0</v>
      </c>
      <c r="AA51" s="18">
        <f>IF(AD51=15,J51,0)</f>
        <v>0</v>
      </c>
      <c r="AB51" s="18">
        <f>IF(AD51=21,J51,0)</f>
        <v>0</v>
      </c>
      <c r="AD51" s="36">
        <v>21</v>
      </c>
      <c r="AE51" s="36">
        <f>G51*0.910353834681747</f>
        <v>0</v>
      </c>
      <c r="AF51" s="36">
        <f>G51*(1-0.910353834681747)</f>
        <v>0</v>
      </c>
      <c r="AM51" s="36">
        <f>F51*AE51</f>
        <v>0</v>
      </c>
      <c r="AN51" s="36">
        <f>F51*AF51</f>
        <v>0</v>
      </c>
      <c r="AO51" s="37" t="s">
        <v>277</v>
      </c>
      <c r="AP51" s="37" t="s">
        <v>291</v>
      </c>
      <c r="AQ51" s="28" t="s">
        <v>299</v>
      </c>
    </row>
    <row r="52" spans="4:6" ht="12.75">
      <c r="D52" s="16" t="s">
        <v>154</v>
      </c>
      <c r="F52" s="19">
        <v>10.51</v>
      </c>
    </row>
    <row r="53" spans="3:13" ht="12.75">
      <c r="C53" s="14" t="s">
        <v>58</v>
      </c>
      <c r="D53" s="69" t="s">
        <v>155</v>
      </c>
      <c r="E53" s="70"/>
      <c r="F53" s="70"/>
      <c r="G53" s="70"/>
      <c r="H53" s="70"/>
      <c r="I53" s="70"/>
      <c r="J53" s="70"/>
      <c r="K53" s="70"/>
      <c r="L53" s="70"/>
      <c r="M53" s="70"/>
    </row>
    <row r="54" spans="1:43" ht="12.75">
      <c r="A54" s="4" t="s">
        <v>24</v>
      </c>
      <c r="B54" s="4"/>
      <c r="C54" s="4" t="s">
        <v>72</v>
      </c>
      <c r="D54" s="4" t="s">
        <v>150</v>
      </c>
      <c r="E54" s="4" t="s">
        <v>235</v>
      </c>
      <c r="F54" s="18">
        <v>30.7</v>
      </c>
      <c r="G54" s="18">
        <v>0</v>
      </c>
      <c r="H54" s="18">
        <f>F54*AE54</f>
        <v>0</v>
      </c>
      <c r="I54" s="18">
        <f>J54-H54</f>
        <v>0</v>
      </c>
      <c r="J54" s="18">
        <f>F54*G54</f>
        <v>0</v>
      </c>
      <c r="K54" s="18">
        <v>0.03916</v>
      </c>
      <c r="L54" s="18">
        <f>F54*K54</f>
        <v>1.202212</v>
      </c>
      <c r="M54" s="31" t="s">
        <v>256</v>
      </c>
      <c r="N54" s="31" t="s">
        <v>7</v>
      </c>
      <c r="O54" s="18">
        <f>IF(N54="5",I54,0)</f>
        <v>0</v>
      </c>
      <c r="Z54" s="18">
        <f>IF(AD54=0,J54,0)</f>
        <v>0</v>
      </c>
      <c r="AA54" s="18">
        <f>IF(AD54=15,J54,0)</f>
        <v>0</v>
      </c>
      <c r="AB54" s="18">
        <f>IF(AD54=21,J54,0)</f>
        <v>0</v>
      </c>
      <c r="AD54" s="36">
        <v>21</v>
      </c>
      <c r="AE54" s="36">
        <f>G54*0.362691853600944</f>
        <v>0</v>
      </c>
      <c r="AF54" s="36">
        <f>G54*(1-0.362691853600944)</f>
        <v>0</v>
      </c>
      <c r="AM54" s="36">
        <f>F54*AE54</f>
        <v>0</v>
      </c>
      <c r="AN54" s="36">
        <f>F54*AF54</f>
        <v>0</v>
      </c>
      <c r="AO54" s="37" t="s">
        <v>277</v>
      </c>
      <c r="AP54" s="37" t="s">
        <v>291</v>
      </c>
      <c r="AQ54" s="28" t="s">
        <v>299</v>
      </c>
    </row>
    <row r="55" spans="4:6" ht="12.75">
      <c r="D55" s="16" t="s">
        <v>156</v>
      </c>
      <c r="F55" s="19">
        <v>30.7</v>
      </c>
    </row>
    <row r="56" spans="1:43" ht="12.75">
      <c r="A56" s="4" t="s">
        <v>25</v>
      </c>
      <c r="B56" s="4"/>
      <c r="C56" s="4" t="s">
        <v>73</v>
      </c>
      <c r="D56" s="4" t="s">
        <v>152</v>
      </c>
      <c r="E56" s="4" t="s">
        <v>235</v>
      </c>
      <c r="F56" s="18">
        <v>30.7</v>
      </c>
      <c r="G56" s="18">
        <v>0</v>
      </c>
      <c r="H56" s="18">
        <f>F56*AE56</f>
        <v>0</v>
      </c>
      <c r="I56" s="18">
        <f>J56-H56</f>
        <v>0</v>
      </c>
      <c r="J56" s="18">
        <f>F56*G56</f>
        <v>0</v>
      </c>
      <c r="K56" s="18">
        <v>0</v>
      </c>
      <c r="L56" s="18">
        <f>F56*K56</f>
        <v>0</v>
      </c>
      <c r="M56" s="31" t="s">
        <v>256</v>
      </c>
      <c r="N56" s="31" t="s">
        <v>7</v>
      </c>
      <c r="O56" s="18">
        <f>IF(N56="5",I56,0)</f>
        <v>0</v>
      </c>
      <c r="Z56" s="18">
        <f>IF(AD56=0,J56,0)</f>
        <v>0</v>
      </c>
      <c r="AA56" s="18">
        <f>IF(AD56=15,J56,0)</f>
        <v>0</v>
      </c>
      <c r="AB56" s="18">
        <f>IF(AD56=21,J56,0)</f>
        <v>0</v>
      </c>
      <c r="AD56" s="36">
        <v>21</v>
      </c>
      <c r="AE56" s="36">
        <f>G56*0</f>
        <v>0</v>
      </c>
      <c r="AF56" s="36">
        <f>G56*(1-0)</f>
        <v>0</v>
      </c>
      <c r="AM56" s="36">
        <f>F56*AE56</f>
        <v>0</v>
      </c>
      <c r="AN56" s="36">
        <f>F56*AF56</f>
        <v>0</v>
      </c>
      <c r="AO56" s="37" t="s">
        <v>277</v>
      </c>
      <c r="AP56" s="37" t="s">
        <v>291</v>
      </c>
      <c r="AQ56" s="28" t="s">
        <v>299</v>
      </c>
    </row>
    <row r="57" spans="1:43" ht="12.75">
      <c r="A57" s="4" t="s">
        <v>26</v>
      </c>
      <c r="B57" s="4"/>
      <c r="C57" s="4" t="s">
        <v>75</v>
      </c>
      <c r="D57" s="4" t="s">
        <v>157</v>
      </c>
      <c r="E57" s="4" t="s">
        <v>234</v>
      </c>
      <c r="F57" s="18">
        <v>0.32</v>
      </c>
      <c r="G57" s="18">
        <v>0</v>
      </c>
      <c r="H57" s="18">
        <f>F57*AE57</f>
        <v>0</v>
      </c>
      <c r="I57" s="18">
        <f>J57-H57</f>
        <v>0</v>
      </c>
      <c r="J57" s="18">
        <f>F57*G57</f>
        <v>0</v>
      </c>
      <c r="K57" s="18">
        <v>1.02116</v>
      </c>
      <c r="L57" s="18">
        <f>F57*K57</f>
        <v>0.32677120000000004</v>
      </c>
      <c r="M57" s="31" t="s">
        <v>256</v>
      </c>
      <c r="N57" s="31" t="s">
        <v>7</v>
      </c>
      <c r="O57" s="18">
        <f>IF(N57="5",I57,0)</f>
        <v>0</v>
      </c>
      <c r="Z57" s="18">
        <f>IF(AD57=0,J57,0)</f>
        <v>0</v>
      </c>
      <c r="AA57" s="18">
        <f>IF(AD57=15,J57,0)</f>
        <v>0</v>
      </c>
      <c r="AB57" s="18">
        <f>IF(AD57=21,J57,0)</f>
        <v>0</v>
      </c>
      <c r="AD57" s="36">
        <v>21</v>
      </c>
      <c r="AE57" s="36">
        <f>G57*0.73155726128339</f>
        <v>0</v>
      </c>
      <c r="AF57" s="36">
        <f>G57*(1-0.73155726128339)</f>
        <v>0</v>
      </c>
      <c r="AM57" s="36">
        <f>F57*AE57</f>
        <v>0</v>
      </c>
      <c r="AN57" s="36">
        <f>F57*AF57</f>
        <v>0</v>
      </c>
      <c r="AO57" s="37" t="s">
        <v>277</v>
      </c>
      <c r="AP57" s="37" t="s">
        <v>291</v>
      </c>
      <c r="AQ57" s="28" t="s">
        <v>299</v>
      </c>
    </row>
    <row r="58" spans="4:6" ht="12.75">
      <c r="D58" s="16" t="s">
        <v>158</v>
      </c>
      <c r="F58" s="19">
        <v>0.32</v>
      </c>
    </row>
    <row r="59" spans="1:37" ht="12.75">
      <c r="A59" s="5"/>
      <c r="B59" s="13"/>
      <c r="C59" s="13" t="s">
        <v>38</v>
      </c>
      <c r="D59" s="67" t="s">
        <v>159</v>
      </c>
      <c r="E59" s="68"/>
      <c r="F59" s="68"/>
      <c r="G59" s="68"/>
      <c r="H59" s="39">
        <f>SUM(H60:H62)</f>
        <v>0</v>
      </c>
      <c r="I59" s="39">
        <f>SUM(I60:I62)</f>
        <v>0</v>
      </c>
      <c r="J59" s="39">
        <f>H59+I59</f>
        <v>0</v>
      </c>
      <c r="K59" s="28"/>
      <c r="L59" s="39">
        <f>SUM(L60:L62)</f>
        <v>41.599630000000005</v>
      </c>
      <c r="M59" s="28"/>
      <c r="P59" s="39">
        <f>IF(Q59="PR",J59,SUM(O60:O62))</f>
        <v>0</v>
      </c>
      <c r="Q59" s="28" t="s">
        <v>261</v>
      </c>
      <c r="R59" s="39">
        <f>IF(Q59="HS",H59,0)</f>
        <v>0</v>
      </c>
      <c r="S59" s="39">
        <f>IF(Q59="HS",I59-P59,0)</f>
        <v>0</v>
      </c>
      <c r="T59" s="39">
        <f>IF(Q59="PS",H59,0)</f>
        <v>0</v>
      </c>
      <c r="U59" s="39">
        <f>IF(Q59="PS",I59-P59,0)</f>
        <v>0</v>
      </c>
      <c r="V59" s="39">
        <f>IF(Q59="MP",H59,0)</f>
        <v>0</v>
      </c>
      <c r="W59" s="39">
        <f>IF(Q59="MP",I59-P59,0)</f>
        <v>0</v>
      </c>
      <c r="X59" s="39">
        <f>IF(Q59="OM",H59,0)</f>
        <v>0</v>
      </c>
      <c r="Y59" s="28"/>
      <c r="AI59" s="39">
        <f>SUM(Z60:Z62)</f>
        <v>0</v>
      </c>
      <c r="AJ59" s="39">
        <f>SUM(AA60:AA62)</f>
        <v>0</v>
      </c>
      <c r="AK59" s="39">
        <f>SUM(AB60:AB62)</f>
        <v>0</v>
      </c>
    </row>
    <row r="60" spans="1:43" ht="12.75">
      <c r="A60" s="4" t="s">
        <v>27</v>
      </c>
      <c r="B60" s="4"/>
      <c r="C60" s="4" t="s">
        <v>76</v>
      </c>
      <c r="D60" s="4" t="s">
        <v>160</v>
      </c>
      <c r="E60" s="4" t="s">
        <v>235</v>
      </c>
      <c r="F60" s="18">
        <v>53.26</v>
      </c>
      <c r="G60" s="18">
        <v>0</v>
      </c>
      <c r="H60" s="18">
        <f>F60*AE60</f>
        <v>0</v>
      </c>
      <c r="I60" s="18">
        <f>J60-H60</f>
        <v>0</v>
      </c>
      <c r="J60" s="18">
        <f>F60*G60</f>
        <v>0</v>
      </c>
      <c r="K60" s="18">
        <v>0</v>
      </c>
      <c r="L60" s="18">
        <f>F60*K60</f>
        <v>0</v>
      </c>
      <c r="M60" s="31" t="s">
        <v>256</v>
      </c>
      <c r="N60" s="31" t="s">
        <v>7</v>
      </c>
      <c r="O60" s="18">
        <f>IF(N60="5",I60,0)</f>
        <v>0</v>
      </c>
      <c r="Z60" s="18">
        <f>IF(AD60=0,J60,0)</f>
        <v>0</v>
      </c>
      <c r="AA60" s="18">
        <f>IF(AD60=15,J60,0)</f>
        <v>0</v>
      </c>
      <c r="AB60" s="18">
        <f>IF(AD60=21,J60,0)</f>
        <v>0</v>
      </c>
      <c r="AD60" s="36">
        <v>21</v>
      </c>
      <c r="AE60" s="36">
        <f>G60*0</f>
        <v>0</v>
      </c>
      <c r="AF60" s="36">
        <f>G60*(1-0)</f>
        <v>0</v>
      </c>
      <c r="AM60" s="36">
        <f>F60*AE60</f>
        <v>0</v>
      </c>
      <c r="AN60" s="36">
        <f>F60*AF60</f>
        <v>0</v>
      </c>
      <c r="AO60" s="37" t="s">
        <v>278</v>
      </c>
      <c r="AP60" s="37" t="s">
        <v>292</v>
      </c>
      <c r="AQ60" s="28" t="s">
        <v>299</v>
      </c>
    </row>
    <row r="61" spans="4:6" ht="12.75">
      <c r="D61" s="16" t="s">
        <v>161</v>
      </c>
      <c r="F61" s="19">
        <v>53.26</v>
      </c>
    </row>
    <row r="62" spans="1:43" ht="12.75">
      <c r="A62" s="6" t="s">
        <v>28</v>
      </c>
      <c r="B62" s="6"/>
      <c r="C62" s="6" t="s">
        <v>77</v>
      </c>
      <c r="D62" s="6" t="s">
        <v>162</v>
      </c>
      <c r="E62" s="6" t="s">
        <v>237</v>
      </c>
      <c r="F62" s="20">
        <v>1434.47</v>
      </c>
      <c r="G62" s="20">
        <v>0</v>
      </c>
      <c r="H62" s="20">
        <f>F62*AE62</f>
        <v>0</v>
      </c>
      <c r="I62" s="20">
        <f>J62-H62</f>
        <v>0</v>
      </c>
      <c r="J62" s="20">
        <f>F62*G62</f>
        <v>0</v>
      </c>
      <c r="K62" s="20">
        <v>0.029</v>
      </c>
      <c r="L62" s="20">
        <f>F62*K62</f>
        <v>41.599630000000005</v>
      </c>
      <c r="M62" s="32" t="s">
        <v>256</v>
      </c>
      <c r="N62" s="32" t="s">
        <v>258</v>
      </c>
      <c r="O62" s="20">
        <f>IF(N62="5",I62,0)</f>
        <v>0</v>
      </c>
      <c r="Z62" s="20">
        <f>IF(AD62=0,J62,0)</f>
        <v>0</v>
      </c>
      <c r="AA62" s="20">
        <f>IF(AD62=15,J62,0)</f>
        <v>0</v>
      </c>
      <c r="AB62" s="20">
        <f>IF(AD62=21,J62,0)</f>
        <v>0</v>
      </c>
      <c r="AD62" s="36">
        <v>21</v>
      </c>
      <c r="AE62" s="36">
        <f>G62*1</f>
        <v>0</v>
      </c>
      <c r="AF62" s="36">
        <f>G62*(1-1)</f>
        <v>0</v>
      </c>
      <c r="AM62" s="36">
        <f>F62*AE62</f>
        <v>0</v>
      </c>
      <c r="AN62" s="36">
        <f>F62*AF62</f>
        <v>0</v>
      </c>
      <c r="AO62" s="37" t="s">
        <v>278</v>
      </c>
      <c r="AP62" s="37" t="s">
        <v>292</v>
      </c>
      <c r="AQ62" s="28" t="s">
        <v>299</v>
      </c>
    </row>
    <row r="63" spans="4:6" ht="12.75">
      <c r="D63" s="16" t="s">
        <v>163</v>
      </c>
      <c r="F63" s="19">
        <v>1420.27</v>
      </c>
    </row>
    <row r="64" spans="4:6" ht="12.75">
      <c r="D64" s="16" t="s">
        <v>164</v>
      </c>
      <c r="F64" s="19">
        <v>14.2</v>
      </c>
    </row>
    <row r="65" spans="1:37" ht="12.75">
      <c r="A65" s="5"/>
      <c r="B65" s="13"/>
      <c r="C65" s="13" t="s">
        <v>44</v>
      </c>
      <c r="D65" s="67" t="s">
        <v>165</v>
      </c>
      <c r="E65" s="68"/>
      <c r="F65" s="68"/>
      <c r="G65" s="68"/>
      <c r="H65" s="39">
        <f>SUM(H66:H67)</f>
        <v>0</v>
      </c>
      <c r="I65" s="39">
        <f>SUM(I66:I67)</f>
        <v>0</v>
      </c>
      <c r="J65" s="39">
        <f>H65+I65</f>
        <v>0</v>
      </c>
      <c r="K65" s="28"/>
      <c r="L65" s="39">
        <f>SUM(L66:L67)</f>
        <v>78.00384</v>
      </c>
      <c r="M65" s="28"/>
      <c r="P65" s="39">
        <f>IF(Q65="PR",J65,SUM(O66:O67))</f>
        <v>0</v>
      </c>
      <c r="Q65" s="28" t="s">
        <v>261</v>
      </c>
      <c r="R65" s="39">
        <f>IF(Q65="HS",H65,0)</f>
        <v>0</v>
      </c>
      <c r="S65" s="39">
        <f>IF(Q65="HS",I65-P65,0)</f>
        <v>0</v>
      </c>
      <c r="T65" s="39">
        <f>IF(Q65="PS",H65,0)</f>
        <v>0</v>
      </c>
      <c r="U65" s="39">
        <f>IF(Q65="PS",I65-P65,0)</f>
        <v>0</v>
      </c>
      <c r="V65" s="39">
        <f>IF(Q65="MP",H65,0)</f>
        <v>0</v>
      </c>
      <c r="W65" s="39">
        <f>IF(Q65="MP",I65-P65,0)</f>
        <v>0</v>
      </c>
      <c r="X65" s="39">
        <f>IF(Q65="OM",H65,0)</f>
        <v>0</v>
      </c>
      <c r="Y65" s="28"/>
      <c r="AI65" s="39">
        <f>SUM(Z66:Z67)</f>
        <v>0</v>
      </c>
      <c r="AJ65" s="39">
        <f>SUM(AA66:AA67)</f>
        <v>0</v>
      </c>
      <c r="AK65" s="39">
        <f>SUM(AB66:AB67)</f>
        <v>0</v>
      </c>
    </row>
    <row r="66" spans="1:43" ht="12.75">
      <c r="A66" s="4" t="s">
        <v>29</v>
      </c>
      <c r="B66" s="4"/>
      <c r="C66" s="4" t="s">
        <v>78</v>
      </c>
      <c r="D66" s="4" t="s">
        <v>166</v>
      </c>
      <c r="E66" s="4" t="s">
        <v>237</v>
      </c>
      <c r="F66" s="18">
        <v>6</v>
      </c>
      <c r="G66" s="18">
        <v>0</v>
      </c>
      <c r="H66" s="18">
        <f>F66*AE66</f>
        <v>0</v>
      </c>
      <c r="I66" s="18">
        <f>J66-H66</f>
        <v>0</v>
      </c>
      <c r="J66" s="18">
        <f>F66*G66</f>
        <v>0</v>
      </c>
      <c r="K66" s="18">
        <v>0.00064</v>
      </c>
      <c r="L66" s="18">
        <f>F66*K66</f>
        <v>0.0038400000000000005</v>
      </c>
      <c r="M66" s="31" t="s">
        <v>256</v>
      </c>
      <c r="N66" s="31" t="s">
        <v>7</v>
      </c>
      <c r="O66" s="18">
        <f>IF(N66="5",I66,0)</f>
        <v>0</v>
      </c>
      <c r="Z66" s="18">
        <f>IF(AD66=0,J66,0)</f>
        <v>0</v>
      </c>
      <c r="AA66" s="18">
        <f>IF(AD66=15,J66,0)</f>
        <v>0</v>
      </c>
      <c r="AB66" s="18">
        <f>IF(AD66=21,J66,0)</f>
        <v>0</v>
      </c>
      <c r="AD66" s="36">
        <v>21</v>
      </c>
      <c r="AE66" s="36">
        <f>G66*0.034497619047619</f>
        <v>0</v>
      </c>
      <c r="AF66" s="36">
        <f>G66*(1-0.034497619047619)</f>
        <v>0</v>
      </c>
      <c r="AM66" s="36">
        <f>F66*AE66</f>
        <v>0</v>
      </c>
      <c r="AN66" s="36">
        <f>F66*AF66</f>
        <v>0</v>
      </c>
      <c r="AO66" s="37" t="s">
        <v>279</v>
      </c>
      <c r="AP66" s="37" t="s">
        <v>292</v>
      </c>
      <c r="AQ66" s="28" t="s">
        <v>299</v>
      </c>
    </row>
    <row r="67" spans="1:43" ht="12.75">
      <c r="A67" s="6" t="s">
        <v>30</v>
      </c>
      <c r="B67" s="6"/>
      <c r="C67" s="6" t="s">
        <v>79</v>
      </c>
      <c r="D67" s="6" t="s">
        <v>167</v>
      </c>
      <c r="E67" s="6" t="s">
        <v>237</v>
      </c>
      <c r="F67" s="20">
        <v>6</v>
      </c>
      <c r="G67" s="20">
        <v>0</v>
      </c>
      <c r="H67" s="20">
        <f>F67*AE67</f>
        <v>0</v>
      </c>
      <c r="I67" s="20">
        <f>J67-H67</f>
        <v>0</v>
      </c>
      <c r="J67" s="20">
        <f>F67*G67</f>
        <v>0</v>
      </c>
      <c r="K67" s="20">
        <v>13</v>
      </c>
      <c r="L67" s="20">
        <f>F67*K67</f>
        <v>78</v>
      </c>
      <c r="M67" s="32" t="s">
        <v>256</v>
      </c>
      <c r="N67" s="32" t="s">
        <v>258</v>
      </c>
      <c r="O67" s="20">
        <f>IF(N67="5",I67,0)</f>
        <v>0</v>
      </c>
      <c r="Z67" s="20">
        <f>IF(AD67=0,J67,0)</f>
        <v>0</v>
      </c>
      <c r="AA67" s="20">
        <f>IF(AD67=15,J67,0)</f>
        <v>0</v>
      </c>
      <c r="AB67" s="20">
        <f>IF(AD67=21,J67,0)</f>
        <v>0</v>
      </c>
      <c r="AD67" s="36">
        <v>21</v>
      </c>
      <c r="AE67" s="36">
        <f>G67*1</f>
        <v>0</v>
      </c>
      <c r="AF67" s="36">
        <f>G67*(1-1)</f>
        <v>0</v>
      </c>
      <c r="AM67" s="36">
        <f>F67*AE67</f>
        <v>0</v>
      </c>
      <c r="AN67" s="36">
        <f>F67*AF67</f>
        <v>0</v>
      </c>
      <c r="AO67" s="37" t="s">
        <v>279</v>
      </c>
      <c r="AP67" s="37" t="s">
        <v>292</v>
      </c>
      <c r="AQ67" s="28" t="s">
        <v>299</v>
      </c>
    </row>
    <row r="68" spans="1:37" ht="12.75">
      <c r="A68" s="5"/>
      <c r="B68" s="13"/>
      <c r="C68" s="13" t="s">
        <v>51</v>
      </c>
      <c r="D68" s="67" t="s">
        <v>168</v>
      </c>
      <c r="E68" s="68"/>
      <c r="F68" s="68"/>
      <c r="G68" s="68"/>
      <c r="H68" s="39">
        <f>SUM(H69:H69)</f>
        <v>0</v>
      </c>
      <c r="I68" s="39">
        <f>SUM(I69:I69)</f>
        <v>0</v>
      </c>
      <c r="J68" s="39">
        <f>H68+I68</f>
        <v>0</v>
      </c>
      <c r="K68" s="28"/>
      <c r="L68" s="39">
        <f>SUM(L69:L69)</f>
        <v>96.12</v>
      </c>
      <c r="M68" s="28"/>
      <c r="P68" s="39">
        <f>IF(Q68="PR",J68,SUM(O69:O69))</f>
        <v>0</v>
      </c>
      <c r="Q68" s="28" t="s">
        <v>261</v>
      </c>
      <c r="R68" s="39">
        <f>IF(Q68="HS",H68,0)</f>
        <v>0</v>
      </c>
      <c r="S68" s="39">
        <f>IF(Q68="HS",I68-P68,0)</f>
        <v>0</v>
      </c>
      <c r="T68" s="39">
        <f>IF(Q68="PS",H68,0)</f>
        <v>0</v>
      </c>
      <c r="U68" s="39">
        <f>IF(Q68="PS",I68-P68,0)</f>
        <v>0</v>
      </c>
      <c r="V68" s="39">
        <f>IF(Q68="MP",H68,0)</f>
        <v>0</v>
      </c>
      <c r="W68" s="39">
        <f>IF(Q68="MP",I68-P68,0)</f>
        <v>0</v>
      </c>
      <c r="X68" s="39">
        <f>IF(Q68="OM",H68,0)</f>
        <v>0</v>
      </c>
      <c r="Y68" s="28"/>
      <c r="AI68" s="39">
        <f>SUM(Z69:Z69)</f>
        <v>0</v>
      </c>
      <c r="AJ68" s="39">
        <f>SUM(AA69:AA69)</f>
        <v>0</v>
      </c>
      <c r="AK68" s="39">
        <f>SUM(AB69:AB69)</f>
        <v>0</v>
      </c>
    </row>
    <row r="69" spans="1:43" ht="12.75">
      <c r="A69" s="4" t="s">
        <v>31</v>
      </c>
      <c r="B69" s="4"/>
      <c r="C69" s="4" t="s">
        <v>80</v>
      </c>
      <c r="D69" s="4" t="s">
        <v>169</v>
      </c>
      <c r="E69" s="4" t="s">
        <v>233</v>
      </c>
      <c r="F69" s="18">
        <v>42.72</v>
      </c>
      <c r="G69" s="18">
        <v>0</v>
      </c>
      <c r="H69" s="18">
        <f>F69*AE69</f>
        <v>0</v>
      </c>
      <c r="I69" s="18">
        <f>J69-H69</f>
        <v>0</v>
      </c>
      <c r="J69" s="18">
        <f>F69*G69</f>
        <v>0</v>
      </c>
      <c r="K69" s="18">
        <v>2.25</v>
      </c>
      <c r="L69" s="18">
        <f>F69*K69</f>
        <v>96.12</v>
      </c>
      <c r="M69" s="31" t="s">
        <v>256</v>
      </c>
      <c r="N69" s="31" t="s">
        <v>7</v>
      </c>
      <c r="O69" s="18">
        <f>IF(N69="5",I69,0)</f>
        <v>0</v>
      </c>
      <c r="Z69" s="18">
        <f>IF(AD69=0,J69,0)</f>
        <v>0</v>
      </c>
      <c r="AA69" s="18">
        <f>IF(AD69=15,J69,0)</f>
        <v>0</v>
      </c>
      <c r="AB69" s="18">
        <f>IF(AD69=21,J69,0)</f>
        <v>0</v>
      </c>
      <c r="AD69" s="36">
        <v>21</v>
      </c>
      <c r="AE69" s="36">
        <f>G69*0.915512878595344</f>
        <v>0</v>
      </c>
      <c r="AF69" s="36">
        <f>G69*(1-0.915512878595344)</f>
        <v>0</v>
      </c>
      <c r="AM69" s="36">
        <f>F69*AE69</f>
        <v>0</v>
      </c>
      <c r="AN69" s="36">
        <f>F69*AF69</f>
        <v>0</v>
      </c>
      <c r="AO69" s="37" t="s">
        <v>280</v>
      </c>
      <c r="AP69" s="37" t="s">
        <v>293</v>
      </c>
      <c r="AQ69" s="28" t="s">
        <v>299</v>
      </c>
    </row>
    <row r="70" spans="4:6" ht="12.75">
      <c r="D70" s="16" t="s">
        <v>170</v>
      </c>
      <c r="F70" s="19">
        <v>42.72</v>
      </c>
    </row>
    <row r="71" spans="3:13" ht="12.75">
      <c r="C71" s="14" t="s">
        <v>58</v>
      </c>
      <c r="D71" s="69" t="s">
        <v>171</v>
      </c>
      <c r="E71" s="70"/>
      <c r="F71" s="70"/>
      <c r="G71" s="70"/>
      <c r="H71" s="70"/>
      <c r="I71" s="70"/>
      <c r="J71" s="70"/>
      <c r="K71" s="70"/>
      <c r="L71" s="70"/>
      <c r="M71" s="70"/>
    </row>
    <row r="72" spans="1:37" ht="12.75">
      <c r="A72" s="5"/>
      <c r="B72" s="13"/>
      <c r="C72" s="13" t="s">
        <v>81</v>
      </c>
      <c r="D72" s="67" t="s">
        <v>172</v>
      </c>
      <c r="E72" s="68"/>
      <c r="F72" s="68"/>
      <c r="G72" s="68"/>
      <c r="H72" s="39">
        <f>SUM(H73:H92)</f>
        <v>0</v>
      </c>
      <c r="I72" s="39">
        <f>SUM(I73:I92)</f>
        <v>0</v>
      </c>
      <c r="J72" s="39">
        <f>H72+I72</f>
        <v>0</v>
      </c>
      <c r="K72" s="28"/>
      <c r="L72" s="39">
        <f>SUM(L73:L92)</f>
        <v>281.56019440000006</v>
      </c>
      <c r="M72" s="28"/>
      <c r="P72" s="39">
        <f>IF(Q72="PR",J72,SUM(O73:O92))</f>
        <v>0</v>
      </c>
      <c r="Q72" s="28" t="s">
        <v>261</v>
      </c>
      <c r="R72" s="39">
        <f>IF(Q72="HS",H72,0)</f>
        <v>0</v>
      </c>
      <c r="S72" s="39">
        <f>IF(Q72="HS",I72-P72,0)</f>
        <v>0</v>
      </c>
      <c r="T72" s="39">
        <f>IF(Q72="PS",H72,0)</f>
        <v>0</v>
      </c>
      <c r="U72" s="39">
        <f>IF(Q72="PS",I72-P72,0)</f>
        <v>0</v>
      </c>
      <c r="V72" s="39">
        <f>IF(Q72="MP",H72,0)</f>
        <v>0</v>
      </c>
      <c r="W72" s="39">
        <f>IF(Q72="MP",I72-P72,0)</f>
        <v>0</v>
      </c>
      <c r="X72" s="39">
        <f>IF(Q72="OM",H72,0)</f>
        <v>0</v>
      </c>
      <c r="Y72" s="28"/>
      <c r="AI72" s="39">
        <f>SUM(Z73:Z92)</f>
        <v>0</v>
      </c>
      <c r="AJ72" s="39">
        <f>SUM(AA73:AA92)</f>
        <v>0</v>
      </c>
      <c r="AK72" s="39">
        <f>SUM(AB73:AB92)</f>
        <v>0</v>
      </c>
    </row>
    <row r="73" spans="1:43" ht="12.75">
      <c r="A73" s="4" t="s">
        <v>32</v>
      </c>
      <c r="B73" s="4"/>
      <c r="C73" s="4" t="s">
        <v>82</v>
      </c>
      <c r="D73" s="4" t="s">
        <v>173</v>
      </c>
      <c r="E73" s="4" t="s">
        <v>235</v>
      </c>
      <c r="F73" s="18">
        <v>87.15</v>
      </c>
      <c r="G73" s="18">
        <v>0</v>
      </c>
      <c r="H73" s="18">
        <f>F73*AE73</f>
        <v>0</v>
      </c>
      <c r="I73" s="18">
        <f>J73-H73</f>
        <v>0</v>
      </c>
      <c r="J73" s="18">
        <f>F73*G73</f>
        <v>0</v>
      </c>
      <c r="K73" s="18">
        <v>0.441</v>
      </c>
      <c r="L73" s="18">
        <f>F73*K73</f>
        <v>38.433150000000005</v>
      </c>
      <c r="M73" s="31" t="s">
        <v>256</v>
      </c>
      <c r="N73" s="31" t="s">
        <v>7</v>
      </c>
      <c r="O73" s="18">
        <f>IF(N73="5",I73,0)</f>
        <v>0</v>
      </c>
      <c r="Z73" s="18">
        <f>IF(AD73=0,J73,0)</f>
        <v>0</v>
      </c>
      <c r="AA73" s="18">
        <f>IF(AD73=15,J73,0)</f>
        <v>0</v>
      </c>
      <c r="AB73" s="18">
        <f>IF(AD73=21,J73,0)</f>
        <v>0</v>
      </c>
      <c r="AD73" s="36">
        <v>21</v>
      </c>
      <c r="AE73" s="36">
        <f>G73*0.874506024096385</f>
        <v>0</v>
      </c>
      <c r="AF73" s="36">
        <f>G73*(1-0.874506024096385)</f>
        <v>0</v>
      </c>
      <c r="AM73" s="36">
        <f>F73*AE73</f>
        <v>0</v>
      </c>
      <c r="AN73" s="36">
        <f>F73*AF73</f>
        <v>0</v>
      </c>
      <c r="AO73" s="37" t="s">
        <v>281</v>
      </c>
      <c r="AP73" s="37" t="s">
        <v>294</v>
      </c>
      <c r="AQ73" s="28" t="s">
        <v>299</v>
      </c>
    </row>
    <row r="74" spans="4:6" ht="12.75">
      <c r="D74" s="16" t="s">
        <v>174</v>
      </c>
      <c r="F74" s="19">
        <v>87.15</v>
      </c>
    </row>
    <row r="75" spans="1:43" ht="12.75">
      <c r="A75" s="4" t="s">
        <v>33</v>
      </c>
      <c r="B75" s="4"/>
      <c r="C75" s="4" t="s">
        <v>83</v>
      </c>
      <c r="D75" s="4" t="s">
        <v>175</v>
      </c>
      <c r="E75" s="4" t="s">
        <v>235</v>
      </c>
      <c r="F75" s="18">
        <v>16.83</v>
      </c>
      <c r="G75" s="18">
        <v>0</v>
      </c>
      <c r="H75" s="18">
        <f>F75*AE75</f>
        <v>0</v>
      </c>
      <c r="I75" s="18">
        <f>J75-H75</f>
        <v>0</v>
      </c>
      <c r="J75" s="18">
        <f>F75*G75</f>
        <v>0</v>
      </c>
      <c r="K75" s="18">
        <v>0.2024</v>
      </c>
      <c r="L75" s="18">
        <f>F75*K75</f>
        <v>3.4063919999999994</v>
      </c>
      <c r="M75" s="31" t="s">
        <v>256</v>
      </c>
      <c r="N75" s="31" t="s">
        <v>7</v>
      </c>
      <c r="O75" s="18">
        <f>IF(N75="5",I75,0)</f>
        <v>0</v>
      </c>
      <c r="Z75" s="18">
        <f>IF(AD75=0,J75,0)</f>
        <v>0</v>
      </c>
      <c r="AA75" s="18">
        <f>IF(AD75=15,J75,0)</f>
        <v>0</v>
      </c>
      <c r="AB75" s="18">
        <f>IF(AD75=21,J75,0)</f>
        <v>0</v>
      </c>
      <c r="AD75" s="36">
        <v>21</v>
      </c>
      <c r="AE75" s="36">
        <f>G75*0.84927249611527</f>
        <v>0</v>
      </c>
      <c r="AF75" s="36">
        <f>G75*(1-0.84927249611527)</f>
        <v>0</v>
      </c>
      <c r="AM75" s="36">
        <f>F75*AE75</f>
        <v>0</v>
      </c>
      <c r="AN75" s="36">
        <f>F75*AF75</f>
        <v>0</v>
      </c>
      <c r="AO75" s="37" t="s">
        <v>281</v>
      </c>
      <c r="AP75" s="37" t="s">
        <v>294</v>
      </c>
      <c r="AQ75" s="28" t="s">
        <v>299</v>
      </c>
    </row>
    <row r="76" spans="4:6" ht="12.75">
      <c r="D76" s="16" t="s">
        <v>176</v>
      </c>
      <c r="F76" s="19">
        <v>16.83</v>
      </c>
    </row>
    <row r="77" spans="1:43" ht="12.75">
      <c r="A77" s="4" t="s">
        <v>34</v>
      </c>
      <c r="B77" s="4"/>
      <c r="C77" s="4" t="s">
        <v>84</v>
      </c>
      <c r="D77" s="4" t="s">
        <v>177</v>
      </c>
      <c r="E77" s="4" t="s">
        <v>235</v>
      </c>
      <c r="F77" s="18">
        <v>325.2</v>
      </c>
      <c r="G77" s="18">
        <v>0</v>
      </c>
      <c r="H77" s="18">
        <f>F77*AE77</f>
        <v>0</v>
      </c>
      <c r="I77" s="18">
        <f>J77-H77</f>
        <v>0</v>
      </c>
      <c r="J77" s="18">
        <f>F77*G77</f>
        <v>0</v>
      </c>
      <c r="K77" s="18">
        <v>0.33075</v>
      </c>
      <c r="L77" s="18">
        <f>F77*K77</f>
        <v>107.5599</v>
      </c>
      <c r="M77" s="31" t="s">
        <v>256</v>
      </c>
      <c r="N77" s="31" t="s">
        <v>7</v>
      </c>
      <c r="O77" s="18">
        <f>IF(N77="5",I77,0)</f>
        <v>0</v>
      </c>
      <c r="Z77" s="18">
        <f>IF(AD77=0,J77,0)</f>
        <v>0</v>
      </c>
      <c r="AA77" s="18">
        <f>IF(AD77=15,J77,0)</f>
        <v>0</v>
      </c>
      <c r="AB77" s="18">
        <f>IF(AD77=21,J77,0)</f>
        <v>0</v>
      </c>
      <c r="AD77" s="36">
        <v>21</v>
      </c>
      <c r="AE77" s="36">
        <f>G77*0.858611987381704</f>
        <v>0</v>
      </c>
      <c r="AF77" s="36">
        <f>G77*(1-0.858611987381704)</f>
        <v>0</v>
      </c>
      <c r="AM77" s="36">
        <f>F77*AE77</f>
        <v>0</v>
      </c>
      <c r="AN77" s="36">
        <f>F77*AF77</f>
        <v>0</v>
      </c>
      <c r="AO77" s="37" t="s">
        <v>281</v>
      </c>
      <c r="AP77" s="37" t="s">
        <v>294</v>
      </c>
      <c r="AQ77" s="28" t="s">
        <v>299</v>
      </c>
    </row>
    <row r="78" spans="4:6" ht="12.75">
      <c r="D78" s="16" t="s">
        <v>178</v>
      </c>
      <c r="F78" s="19">
        <v>325.2</v>
      </c>
    </row>
    <row r="79" spans="3:13" ht="12.75">
      <c r="C79" s="14" t="s">
        <v>58</v>
      </c>
      <c r="D79" s="69" t="s">
        <v>179</v>
      </c>
      <c r="E79" s="70"/>
      <c r="F79" s="70"/>
      <c r="G79" s="70"/>
      <c r="H79" s="70"/>
      <c r="I79" s="70"/>
      <c r="J79" s="70"/>
      <c r="K79" s="70"/>
      <c r="L79" s="70"/>
      <c r="M79" s="70"/>
    </row>
    <row r="80" spans="1:43" ht="12.75">
      <c r="A80" s="4" t="s">
        <v>35</v>
      </c>
      <c r="B80" s="4"/>
      <c r="C80" s="4" t="s">
        <v>85</v>
      </c>
      <c r="D80" s="4" t="s">
        <v>180</v>
      </c>
      <c r="E80" s="4" t="s">
        <v>235</v>
      </c>
      <c r="F80" s="18">
        <v>13</v>
      </c>
      <c r="G80" s="18">
        <v>0</v>
      </c>
      <c r="H80" s="18">
        <f>F80*AE80</f>
        <v>0</v>
      </c>
      <c r="I80" s="18">
        <f>J80-H80</f>
        <v>0</v>
      </c>
      <c r="J80" s="18">
        <f>F80*G80</f>
        <v>0</v>
      </c>
      <c r="K80" s="18">
        <v>0.27799</v>
      </c>
      <c r="L80" s="18">
        <f>F80*K80</f>
        <v>3.6138700000000004</v>
      </c>
      <c r="M80" s="31" t="s">
        <v>256</v>
      </c>
      <c r="N80" s="31" t="s">
        <v>7</v>
      </c>
      <c r="O80" s="18">
        <f>IF(N80="5",I80,0)</f>
        <v>0</v>
      </c>
      <c r="Z80" s="18">
        <f>IF(AD80=0,J80,0)</f>
        <v>0</v>
      </c>
      <c r="AA80" s="18">
        <f>IF(AD80=15,J80,0)</f>
        <v>0</v>
      </c>
      <c r="AB80" s="18">
        <f>IF(AD80=21,J80,0)</f>
        <v>0</v>
      </c>
      <c r="AD80" s="36">
        <v>21</v>
      </c>
      <c r="AE80" s="36">
        <f>G80*0.828254193243563</f>
        <v>0</v>
      </c>
      <c r="AF80" s="36">
        <f>G80*(1-0.828254193243563)</f>
        <v>0</v>
      </c>
      <c r="AM80" s="36">
        <f>F80*AE80</f>
        <v>0</v>
      </c>
      <c r="AN80" s="36">
        <f>F80*AF80</f>
        <v>0</v>
      </c>
      <c r="AO80" s="37" t="s">
        <v>281</v>
      </c>
      <c r="AP80" s="37" t="s">
        <v>294</v>
      </c>
      <c r="AQ80" s="28" t="s">
        <v>299</v>
      </c>
    </row>
    <row r="81" spans="4:6" ht="12.75">
      <c r="D81" s="16" t="s">
        <v>181</v>
      </c>
      <c r="F81" s="19">
        <v>13</v>
      </c>
    </row>
    <row r="82" spans="1:43" ht="12.75">
      <c r="A82" s="4" t="s">
        <v>36</v>
      </c>
      <c r="B82" s="4"/>
      <c r="C82" s="4" t="s">
        <v>86</v>
      </c>
      <c r="D82" s="4" t="s">
        <v>182</v>
      </c>
      <c r="E82" s="4" t="s">
        <v>235</v>
      </c>
      <c r="F82" s="18">
        <v>60.05</v>
      </c>
      <c r="G82" s="18">
        <v>0</v>
      </c>
      <c r="H82" s="18">
        <f>F82*AE82</f>
        <v>0</v>
      </c>
      <c r="I82" s="18">
        <f>J82-H82</f>
        <v>0</v>
      </c>
      <c r="J82" s="18">
        <f>F82*G82</f>
        <v>0</v>
      </c>
      <c r="K82" s="18">
        <v>0.56673</v>
      </c>
      <c r="L82" s="18">
        <f>F82*K82</f>
        <v>34.03213649999999</v>
      </c>
      <c r="M82" s="31" t="s">
        <v>256</v>
      </c>
      <c r="N82" s="31" t="s">
        <v>7</v>
      </c>
      <c r="O82" s="18">
        <f>IF(N82="5",I82,0)</f>
        <v>0</v>
      </c>
      <c r="Z82" s="18">
        <f>IF(AD82=0,J82,0)</f>
        <v>0</v>
      </c>
      <c r="AA82" s="18">
        <f>IF(AD82=15,J82,0)</f>
        <v>0</v>
      </c>
      <c r="AB82" s="18">
        <f>IF(AD82=21,J82,0)</f>
        <v>0</v>
      </c>
      <c r="AD82" s="36">
        <v>21</v>
      </c>
      <c r="AE82" s="36">
        <f>G82*0.862981385569971</f>
        <v>0</v>
      </c>
      <c r="AF82" s="36">
        <f>G82*(1-0.862981385569971)</f>
        <v>0</v>
      </c>
      <c r="AM82" s="36">
        <f>F82*AE82</f>
        <v>0</v>
      </c>
      <c r="AN82" s="36">
        <f>F82*AF82</f>
        <v>0</v>
      </c>
      <c r="AO82" s="37" t="s">
        <v>281</v>
      </c>
      <c r="AP82" s="37" t="s">
        <v>294</v>
      </c>
      <c r="AQ82" s="28" t="s">
        <v>299</v>
      </c>
    </row>
    <row r="83" spans="4:6" ht="12.75">
      <c r="D83" s="16" t="s">
        <v>183</v>
      </c>
      <c r="F83" s="19">
        <v>60.05</v>
      </c>
    </row>
    <row r="84" spans="3:13" ht="12.75">
      <c r="C84" s="14" t="s">
        <v>58</v>
      </c>
      <c r="D84" s="69" t="s">
        <v>184</v>
      </c>
      <c r="E84" s="70"/>
      <c r="F84" s="70"/>
      <c r="G84" s="70"/>
      <c r="H84" s="70"/>
      <c r="I84" s="70"/>
      <c r="J84" s="70"/>
      <c r="K84" s="70"/>
      <c r="L84" s="70"/>
      <c r="M84" s="70"/>
    </row>
    <row r="85" spans="1:43" ht="12.75">
      <c r="A85" s="4" t="s">
        <v>37</v>
      </c>
      <c r="B85" s="4"/>
      <c r="C85" s="4" t="s">
        <v>87</v>
      </c>
      <c r="D85" s="4" t="s">
        <v>185</v>
      </c>
      <c r="E85" s="4" t="s">
        <v>235</v>
      </c>
      <c r="F85" s="18">
        <v>162.6</v>
      </c>
      <c r="G85" s="18">
        <v>0</v>
      </c>
      <c r="H85" s="18">
        <f>F85*AE85</f>
        <v>0</v>
      </c>
      <c r="I85" s="18">
        <f>J85-H85</f>
        <v>0</v>
      </c>
      <c r="J85" s="18">
        <f>F85*G85</f>
        <v>0</v>
      </c>
      <c r="K85" s="18">
        <v>0.02957</v>
      </c>
      <c r="L85" s="18">
        <f>F85*K85</f>
        <v>4.808082</v>
      </c>
      <c r="M85" s="31" t="s">
        <v>257</v>
      </c>
      <c r="N85" s="31" t="s">
        <v>7</v>
      </c>
      <c r="O85" s="18">
        <f>IF(N85="5",I85,0)</f>
        <v>0</v>
      </c>
      <c r="Z85" s="18">
        <f>IF(AD85=0,J85,0)</f>
        <v>0</v>
      </c>
      <c r="AA85" s="18">
        <f>IF(AD85=15,J85,0)</f>
        <v>0</v>
      </c>
      <c r="AB85" s="18">
        <f>IF(AD85=21,J85,0)</f>
        <v>0</v>
      </c>
      <c r="AD85" s="36">
        <v>21</v>
      </c>
      <c r="AE85" s="36">
        <f>G85*0.519261744966443</f>
        <v>0</v>
      </c>
      <c r="AF85" s="36">
        <f>G85*(1-0.519261744966443)</f>
        <v>0</v>
      </c>
      <c r="AM85" s="36">
        <f>F85*AE85</f>
        <v>0</v>
      </c>
      <c r="AN85" s="36">
        <f>F85*AF85</f>
        <v>0</v>
      </c>
      <c r="AO85" s="37" t="s">
        <v>281</v>
      </c>
      <c r="AP85" s="37" t="s">
        <v>294</v>
      </c>
      <c r="AQ85" s="28" t="s">
        <v>299</v>
      </c>
    </row>
    <row r="86" spans="4:6" ht="12.75">
      <c r="D86" s="16" t="s">
        <v>186</v>
      </c>
      <c r="F86" s="19">
        <v>162.6</v>
      </c>
    </row>
    <row r="87" spans="3:13" ht="12.75">
      <c r="C87" s="14" t="s">
        <v>58</v>
      </c>
      <c r="D87" s="69" t="s">
        <v>124</v>
      </c>
      <c r="E87" s="70"/>
      <c r="F87" s="70"/>
      <c r="G87" s="70"/>
      <c r="H87" s="70"/>
      <c r="I87" s="70"/>
      <c r="J87" s="70"/>
      <c r="K87" s="70"/>
      <c r="L87" s="70"/>
      <c r="M87" s="70"/>
    </row>
    <row r="88" spans="1:43" ht="12.75">
      <c r="A88" s="4" t="s">
        <v>38</v>
      </c>
      <c r="B88" s="4"/>
      <c r="C88" s="4" t="s">
        <v>88</v>
      </c>
      <c r="D88" s="4" t="s">
        <v>187</v>
      </c>
      <c r="E88" s="4" t="s">
        <v>235</v>
      </c>
      <c r="F88" s="18">
        <v>162.6</v>
      </c>
      <c r="G88" s="18">
        <v>0</v>
      </c>
      <c r="H88" s="18">
        <f>F88*AE88</f>
        <v>0</v>
      </c>
      <c r="I88" s="18">
        <f>J88-H88</f>
        <v>0</v>
      </c>
      <c r="J88" s="18">
        <f>F88*G88</f>
        <v>0</v>
      </c>
      <c r="K88" s="18">
        <v>0.55125</v>
      </c>
      <c r="L88" s="18">
        <f>F88*K88</f>
        <v>89.63325</v>
      </c>
      <c r="M88" s="31" t="s">
        <v>257</v>
      </c>
      <c r="N88" s="31" t="s">
        <v>7</v>
      </c>
      <c r="O88" s="18">
        <f>IF(N88="5",I88,0)</f>
        <v>0</v>
      </c>
      <c r="Z88" s="18">
        <f>IF(AD88=0,J88,0)</f>
        <v>0</v>
      </c>
      <c r="AA88" s="18">
        <f>IF(AD88=15,J88,0)</f>
        <v>0</v>
      </c>
      <c r="AB88" s="18">
        <f>IF(AD88=21,J88,0)</f>
        <v>0</v>
      </c>
      <c r="AD88" s="36">
        <v>21</v>
      </c>
      <c r="AE88" s="36">
        <f>G88*0.907311475409836</f>
        <v>0</v>
      </c>
      <c r="AF88" s="36">
        <f>G88*(1-0.907311475409836)</f>
        <v>0</v>
      </c>
      <c r="AM88" s="36">
        <f>F88*AE88</f>
        <v>0</v>
      </c>
      <c r="AN88" s="36">
        <f>F88*AF88</f>
        <v>0</v>
      </c>
      <c r="AO88" s="37" t="s">
        <v>281</v>
      </c>
      <c r="AP88" s="37" t="s">
        <v>294</v>
      </c>
      <c r="AQ88" s="28" t="s">
        <v>299</v>
      </c>
    </row>
    <row r="89" spans="3:13" ht="12.75">
      <c r="C89" s="14" t="s">
        <v>58</v>
      </c>
      <c r="D89" s="69" t="s">
        <v>124</v>
      </c>
      <c r="E89" s="70"/>
      <c r="F89" s="70"/>
      <c r="G89" s="70"/>
      <c r="H89" s="70"/>
      <c r="I89" s="70"/>
      <c r="J89" s="70"/>
      <c r="K89" s="70"/>
      <c r="L89" s="70"/>
      <c r="M89" s="70"/>
    </row>
    <row r="90" spans="1:43" ht="12.75">
      <c r="A90" s="4" t="s">
        <v>39</v>
      </c>
      <c r="B90" s="4"/>
      <c r="C90" s="4" t="s">
        <v>89</v>
      </c>
      <c r="D90" s="4" t="s">
        <v>188</v>
      </c>
      <c r="E90" s="4" t="s">
        <v>235</v>
      </c>
      <c r="F90" s="18">
        <v>162.6</v>
      </c>
      <c r="G90" s="18">
        <v>0</v>
      </c>
      <c r="H90" s="18">
        <f>F90*AE90</f>
        <v>0</v>
      </c>
      <c r="I90" s="18">
        <f>J90-H90</f>
        <v>0</v>
      </c>
      <c r="J90" s="18">
        <f>F90*G90</f>
        <v>0</v>
      </c>
      <c r="K90" s="18">
        <v>0.00021</v>
      </c>
      <c r="L90" s="18">
        <f>F90*K90</f>
        <v>0.034146</v>
      </c>
      <c r="M90" s="31" t="s">
        <v>257</v>
      </c>
      <c r="N90" s="31" t="s">
        <v>7</v>
      </c>
      <c r="O90" s="18">
        <f>IF(N90="5",I90,0)</f>
        <v>0</v>
      </c>
      <c r="Z90" s="18">
        <f>IF(AD90=0,J90,0)</f>
        <v>0</v>
      </c>
      <c r="AA90" s="18">
        <f>IF(AD90=15,J90,0)</f>
        <v>0</v>
      </c>
      <c r="AB90" s="18">
        <f>IF(AD90=21,J90,0)</f>
        <v>0</v>
      </c>
      <c r="AD90" s="36">
        <v>21</v>
      </c>
      <c r="AE90" s="36">
        <f>G90*0.0848464839881149</f>
        <v>0</v>
      </c>
      <c r="AF90" s="36">
        <f>G90*(1-0.0848464839881149)</f>
        <v>0</v>
      </c>
      <c r="AM90" s="36">
        <f>F90*AE90</f>
        <v>0</v>
      </c>
      <c r="AN90" s="36">
        <f>F90*AF90</f>
        <v>0</v>
      </c>
      <c r="AO90" s="37" t="s">
        <v>281</v>
      </c>
      <c r="AP90" s="37" t="s">
        <v>294</v>
      </c>
      <c r="AQ90" s="28" t="s">
        <v>299</v>
      </c>
    </row>
    <row r="91" spans="3:13" ht="12.75">
      <c r="C91" s="14" t="s">
        <v>58</v>
      </c>
      <c r="D91" s="69" t="s">
        <v>124</v>
      </c>
      <c r="E91" s="70"/>
      <c r="F91" s="70"/>
      <c r="G91" s="70"/>
      <c r="H91" s="70"/>
      <c r="I91" s="70"/>
      <c r="J91" s="70"/>
      <c r="K91" s="70"/>
      <c r="L91" s="70"/>
      <c r="M91" s="70"/>
    </row>
    <row r="92" spans="1:43" ht="12.75">
      <c r="A92" s="6" t="s">
        <v>40</v>
      </c>
      <c r="B92" s="6"/>
      <c r="C92" s="6" t="s">
        <v>90</v>
      </c>
      <c r="D92" s="6" t="s">
        <v>189</v>
      </c>
      <c r="E92" s="6" t="s">
        <v>235</v>
      </c>
      <c r="F92" s="20">
        <v>170.73</v>
      </c>
      <c r="G92" s="20">
        <v>0</v>
      </c>
      <c r="H92" s="20">
        <f>F92*AE92</f>
        <v>0</v>
      </c>
      <c r="I92" s="20">
        <f>J92-H92</f>
        <v>0</v>
      </c>
      <c r="J92" s="20">
        <f>F92*G92</f>
        <v>0</v>
      </c>
      <c r="K92" s="20">
        <v>0.00023</v>
      </c>
      <c r="L92" s="20">
        <f>F92*K92</f>
        <v>0.0392679</v>
      </c>
      <c r="M92" s="32" t="s">
        <v>257</v>
      </c>
      <c r="N92" s="32" t="s">
        <v>258</v>
      </c>
      <c r="O92" s="20">
        <f>IF(N92="5",I92,0)</f>
        <v>0</v>
      </c>
      <c r="Z92" s="20">
        <f>IF(AD92=0,J92,0)</f>
        <v>0</v>
      </c>
      <c r="AA92" s="20">
        <f>IF(AD92=15,J92,0)</f>
        <v>0</v>
      </c>
      <c r="AB92" s="20">
        <f>IF(AD92=21,J92,0)</f>
        <v>0</v>
      </c>
      <c r="AD92" s="36">
        <v>21</v>
      </c>
      <c r="AE92" s="36">
        <f>G92*1</f>
        <v>0</v>
      </c>
      <c r="AF92" s="36">
        <f>G92*(1-1)</f>
        <v>0</v>
      </c>
      <c r="AM92" s="36">
        <f>F92*AE92</f>
        <v>0</v>
      </c>
      <c r="AN92" s="36">
        <f>F92*AF92</f>
        <v>0</v>
      </c>
      <c r="AO92" s="37" t="s">
        <v>281</v>
      </c>
      <c r="AP92" s="37" t="s">
        <v>294</v>
      </c>
      <c r="AQ92" s="28" t="s">
        <v>299</v>
      </c>
    </row>
    <row r="93" spans="4:6" ht="12.75">
      <c r="D93" s="16" t="s">
        <v>186</v>
      </c>
      <c r="F93" s="19">
        <v>162.6</v>
      </c>
    </row>
    <row r="94" spans="4:6" ht="12.75">
      <c r="D94" s="16" t="s">
        <v>190</v>
      </c>
      <c r="F94" s="19">
        <v>8.13</v>
      </c>
    </row>
    <row r="95" spans="3:13" ht="12.75">
      <c r="C95" s="14" t="s">
        <v>58</v>
      </c>
      <c r="D95" s="69" t="s">
        <v>124</v>
      </c>
      <c r="E95" s="70"/>
      <c r="F95" s="70"/>
      <c r="G95" s="70"/>
      <c r="H95" s="70"/>
      <c r="I95" s="70"/>
      <c r="J95" s="70"/>
      <c r="K95" s="70"/>
      <c r="L95" s="70"/>
      <c r="M95" s="70"/>
    </row>
    <row r="96" spans="1:37" ht="12.75">
      <c r="A96" s="5"/>
      <c r="B96" s="13"/>
      <c r="C96" s="13" t="s">
        <v>91</v>
      </c>
      <c r="D96" s="67" t="s">
        <v>191</v>
      </c>
      <c r="E96" s="68"/>
      <c r="F96" s="68"/>
      <c r="G96" s="68"/>
      <c r="H96" s="39">
        <f>SUM(H97:H102)</f>
        <v>0</v>
      </c>
      <c r="I96" s="39">
        <f>SUM(I97:I102)</f>
        <v>0</v>
      </c>
      <c r="J96" s="39">
        <f>H96+I96</f>
        <v>0</v>
      </c>
      <c r="K96" s="28"/>
      <c r="L96" s="39">
        <f>SUM(L97:L102)</f>
        <v>48.6289355</v>
      </c>
      <c r="M96" s="28"/>
      <c r="P96" s="39">
        <f>IF(Q96="PR",J96,SUM(O97:O102))</f>
        <v>0</v>
      </c>
      <c r="Q96" s="28" t="s">
        <v>261</v>
      </c>
      <c r="R96" s="39">
        <f>IF(Q96="HS",H96,0)</f>
        <v>0</v>
      </c>
      <c r="S96" s="39">
        <f>IF(Q96="HS",I96-P96,0)</f>
        <v>0</v>
      </c>
      <c r="T96" s="39">
        <f>IF(Q96="PS",H96,0)</f>
        <v>0</v>
      </c>
      <c r="U96" s="39">
        <f>IF(Q96="PS",I96-P96,0)</f>
        <v>0</v>
      </c>
      <c r="V96" s="39">
        <f>IF(Q96="MP",H96,0)</f>
        <v>0</v>
      </c>
      <c r="W96" s="39">
        <f>IF(Q96="MP",I96-P96,0)</f>
        <v>0</v>
      </c>
      <c r="X96" s="39">
        <f>IF(Q96="OM",H96,0)</f>
        <v>0</v>
      </c>
      <c r="Y96" s="28"/>
      <c r="AI96" s="39">
        <f>SUM(Z97:Z102)</f>
        <v>0</v>
      </c>
      <c r="AJ96" s="39">
        <f>SUM(AA97:AA102)</f>
        <v>0</v>
      </c>
      <c r="AK96" s="39">
        <f>SUM(AB97:AB102)</f>
        <v>0</v>
      </c>
    </row>
    <row r="97" spans="1:43" ht="12.75">
      <c r="A97" s="4" t="s">
        <v>41</v>
      </c>
      <c r="B97" s="4"/>
      <c r="C97" s="4" t="s">
        <v>92</v>
      </c>
      <c r="D97" s="4" t="s">
        <v>192</v>
      </c>
      <c r="E97" s="4" t="s">
        <v>235</v>
      </c>
      <c r="F97" s="18">
        <v>13.67</v>
      </c>
      <c r="G97" s="18">
        <v>0</v>
      </c>
      <c r="H97" s="18">
        <f>F97*AE97</f>
        <v>0</v>
      </c>
      <c r="I97" s="18">
        <f>J97-H97</f>
        <v>0</v>
      </c>
      <c r="J97" s="18">
        <f>F97*G97</f>
        <v>0</v>
      </c>
      <c r="K97" s="18">
        <v>0.71968</v>
      </c>
      <c r="L97" s="18">
        <f>F97*K97</f>
        <v>9.8380256</v>
      </c>
      <c r="M97" s="31" t="s">
        <v>256</v>
      </c>
      <c r="N97" s="31" t="s">
        <v>7</v>
      </c>
      <c r="O97" s="18">
        <f>IF(N97="5",I97,0)</f>
        <v>0</v>
      </c>
      <c r="Z97" s="18">
        <f>IF(AD97=0,J97,0)</f>
        <v>0</v>
      </c>
      <c r="AA97" s="18">
        <f>IF(AD97=15,J97,0)</f>
        <v>0</v>
      </c>
      <c r="AB97" s="18">
        <f>IF(AD97=21,J97,0)</f>
        <v>0</v>
      </c>
      <c r="AD97" s="36">
        <v>21</v>
      </c>
      <c r="AE97" s="36">
        <f>G97*0.87949935680132</f>
        <v>0</v>
      </c>
      <c r="AF97" s="36">
        <f>G97*(1-0.87949935680132)</f>
        <v>0</v>
      </c>
      <c r="AM97" s="36">
        <f>F97*AE97</f>
        <v>0</v>
      </c>
      <c r="AN97" s="36">
        <f>F97*AF97</f>
        <v>0</v>
      </c>
      <c r="AO97" s="37" t="s">
        <v>282</v>
      </c>
      <c r="AP97" s="37" t="s">
        <v>294</v>
      </c>
      <c r="AQ97" s="28" t="s">
        <v>299</v>
      </c>
    </row>
    <row r="98" spans="4:6" ht="12.75">
      <c r="D98" s="16" t="s">
        <v>193</v>
      </c>
      <c r="F98" s="19">
        <v>13.67</v>
      </c>
    </row>
    <row r="99" spans="1:43" ht="12.75">
      <c r="A99" s="4" t="s">
        <v>42</v>
      </c>
      <c r="B99" s="4"/>
      <c r="C99" s="4" t="s">
        <v>93</v>
      </c>
      <c r="D99" s="4" t="s">
        <v>194</v>
      </c>
      <c r="E99" s="4" t="s">
        <v>235</v>
      </c>
      <c r="F99" s="18">
        <v>154.71</v>
      </c>
      <c r="G99" s="18">
        <v>0</v>
      </c>
      <c r="H99" s="18">
        <f>F99*AE99</f>
        <v>0</v>
      </c>
      <c r="I99" s="18">
        <f>J99-H99</f>
        <v>0</v>
      </c>
      <c r="J99" s="18">
        <f>F99*G99</f>
        <v>0</v>
      </c>
      <c r="K99" s="18">
        <v>0.0739</v>
      </c>
      <c r="L99" s="18">
        <f>F99*K99</f>
        <v>11.433069</v>
      </c>
      <c r="M99" s="31" t="s">
        <v>256</v>
      </c>
      <c r="N99" s="31" t="s">
        <v>7</v>
      </c>
      <c r="O99" s="18">
        <f>IF(N99="5",I99,0)</f>
        <v>0</v>
      </c>
      <c r="Z99" s="18">
        <f>IF(AD99=0,J99,0)</f>
        <v>0</v>
      </c>
      <c r="AA99" s="18">
        <f>IF(AD99=15,J99,0)</f>
        <v>0</v>
      </c>
      <c r="AB99" s="18">
        <f>IF(AD99=21,J99,0)</f>
        <v>0</v>
      </c>
      <c r="AD99" s="36">
        <v>21</v>
      </c>
      <c r="AE99" s="36">
        <f>G99*0.19173893428242</f>
        <v>0</v>
      </c>
      <c r="AF99" s="36">
        <f>G99*(1-0.19173893428242)</f>
        <v>0</v>
      </c>
      <c r="AM99" s="36">
        <f>F99*AE99</f>
        <v>0</v>
      </c>
      <c r="AN99" s="36">
        <f>F99*AF99</f>
        <v>0</v>
      </c>
      <c r="AO99" s="37" t="s">
        <v>282</v>
      </c>
      <c r="AP99" s="37" t="s">
        <v>294</v>
      </c>
      <c r="AQ99" s="28" t="s">
        <v>299</v>
      </c>
    </row>
    <row r="100" spans="1:43" ht="12.75">
      <c r="A100" s="4" t="s">
        <v>43</v>
      </c>
      <c r="B100" s="4"/>
      <c r="C100" s="4" t="s">
        <v>94</v>
      </c>
      <c r="D100" s="4" t="s">
        <v>195</v>
      </c>
      <c r="E100" s="4" t="s">
        <v>236</v>
      </c>
      <c r="F100" s="18">
        <v>35.69</v>
      </c>
      <c r="G100" s="18">
        <v>0</v>
      </c>
      <c r="H100" s="18">
        <f>F100*AE100</f>
        <v>0</v>
      </c>
      <c r="I100" s="18">
        <f>J100-H100</f>
        <v>0</v>
      </c>
      <c r="J100" s="18">
        <f>F100*G100</f>
        <v>0</v>
      </c>
      <c r="K100" s="18">
        <v>0.00036</v>
      </c>
      <c r="L100" s="18">
        <f>F100*K100</f>
        <v>0.0128484</v>
      </c>
      <c r="M100" s="31" t="s">
        <v>256</v>
      </c>
      <c r="N100" s="31" t="s">
        <v>7</v>
      </c>
      <c r="O100" s="18">
        <f>IF(N100="5",I100,0)</f>
        <v>0</v>
      </c>
      <c r="Z100" s="18">
        <f>IF(AD100=0,J100,0)</f>
        <v>0</v>
      </c>
      <c r="AA100" s="18">
        <f>IF(AD100=15,J100,0)</f>
        <v>0</v>
      </c>
      <c r="AB100" s="18">
        <f>IF(AD100=21,J100,0)</f>
        <v>0</v>
      </c>
      <c r="AD100" s="36">
        <v>21</v>
      </c>
      <c r="AE100" s="36">
        <f>G100*0.0791735537190083</f>
        <v>0</v>
      </c>
      <c r="AF100" s="36">
        <f>G100*(1-0.0791735537190083)</f>
        <v>0</v>
      </c>
      <c r="AM100" s="36">
        <f>F100*AE100</f>
        <v>0</v>
      </c>
      <c r="AN100" s="36">
        <f>F100*AF100</f>
        <v>0</v>
      </c>
      <c r="AO100" s="37" t="s">
        <v>282</v>
      </c>
      <c r="AP100" s="37" t="s">
        <v>294</v>
      </c>
      <c r="AQ100" s="28" t="s">
        <v>299</v>
      </c>
    </row>
    <row r="101" spans="4:6" ht="12.75">
      <c r="D101" s="16" t="s">
        <v>216</v>
      </c>
      <c r="F101" s="19">
        <v>35.69</v>
      </c>
    </row>
    <row r="102" spans="1:43" ht="12.75">
      <c r="A102" s="6" t="s">
        <v>44</v>
      </c>
      <c r="B102" s="6"/>
      <c r="C102" s="6" t="s">
        <v>95</v>
      </c>
      <c r="D102" s="6" t="s">
        <v>196</v>
      </c>
      <c r="E102" s="6" t="s">
        <v>235</v>
      </c>
      <c r="F102" s="20">
        <v>156.2571</v>
      </c>
      <c r="G102" s="20">
        <v>0</v>
      </c>
      <c r="H102" s="20">
        <f>F102*AE102</f>
        <v>0</v>
      </c>
      <c r="I102" s="20">
        <f>J102-H102</f>
        <v>0</v>
      </c>
      <c r="J102" s="20">
        <f>F102*G102</f>
        <v>0</v>
      </c>
      <c r="K102" s="20">
        <v>0.175</v>
      </c>
      <c r="L102" s="20">
        <f>F102*K102</f>
        <v>27.3449925</v>
      </c>
      <c r="M102" s="32" t="s">
        <v>256</v>
      </c>
      <c r="N102" s="32" t="s">
        <v>258</v>
      </c>
      <c r="O102" s="20">
        <f>IF(N102="5",I102,0)</f>
        <v>0</v>
      </c>
      <c r="Z102" s="20">
        <f>IF(AD102=0,J102,0)</f>
        <v>0</v>
      </c>
      <c r="AA102" s="20">
        <f>IF(AD102=15,J102,0)</f>
        <v>0</v>
      </c>
      <c r="AB102" s="20">
        <f>IF(AD102=21,J102,0)</f>
        <v>0</v>
      </c>
      <c r="AD102" s="36">
        <v>21</v>
      </c>
      <c r="AE102" s="36">
        <f>G102*1</f>
        <v>0</v>
      </c>
      <c r="AF102" s="36">
        <f>G102*(1-1)</f>
        <v>0</v>
      </c>
      <c r="AM102" s="36">
        <f>F102*AE102</f>
        <v>0</v>
      </c>
      <c r="AN102" s="36">
        <f>F102*AF102</f>
        <v>0</v>
      </c>
      <c r="AO102" s="37" t="s">
        <v>282</v>
      </c>
      <c r="AP102" s="37" t="s">
        <v>294</v>
      </c>
      <c r="AQ102" s="28" t="s">
        <v>299</v>
      </c>
    </row>
    <row r="103" spans="4:6" ht="12.75">
      <c r="D103" s="16" t="s">
        <v>197</v>
      </c>
      <c r="F103" s="19">
        <v>154.71</v>
      </c>
    </row>
    <row r="104" spans="4:6" ht="12.75">
      <c r="D104" s="16" t="s">
        <v>198</v>
      </c>
      <c r="F104" s="19">
        <v>1.5471</v>
      </c>
    </row>
    <row r="105" spans="1:37" ht="12.75">
      <c r="A105" s="5"/>
      <c r="B105" s="13"/>
      <c r="C105" s="13" t="s">
        <v>96</v>
      </c>
      <c r="D105" s="67" t="s">
        <v>199</v>
      </c>
      <c r="E105" s="68"/>
      <c r="F105" s="68"/>
      <c r="G105" s="68"/>
      <c r="H105" s="39">
        <f>SUM(H106:H106)</f>
        <v>0</v>
      </c>
      <c r="I105" s="39">
        <f>SUM(I106:I106)</f>
        <v>0</v>
      </c>
      <c r="J105" s="39">
        <f>H105+I105</f>
        <v>0</v>
      </c>
      <c r="K105" s="28"/>
      <c r="L105" s="39">
        <f>SUM(L106:L106)</f>
        <v>6.2904</v>
      </c>
      <c r="M105" s="28"/>
      <c r="P105" s="39">
        <f>IF(Q105="PR",J105,SUM(O106:O106))</f>
        <v>0</v>
      </c>
      <c r="Q105" s="28" t="s">
        <v>261</v>
      </c>
      <c r="R105" s="39">
        <f>IF(Q105="HS",H105,0)</f>
        <v>0</v>
      </c>
      <c r="S105" s="39">
        <f>IF(Q105="HS",I105-P105,0)</f>
        <v>0</v>
      </c>
      <c r="T105" s="39">
        <f>IF(Q105="PS",H105,0)</f>
        <v>0</v>
      </c>
      <c r="U105" s="39">
        <f>IF(Q105="PS",I105-P105,0)</f>
        <v>0</v>
      </c>
      <c r="V105" s="39">
        <f>IF(Q105="MP",H105,0)</f>
        <v>0</v>
      </c>
      <c r="W105" s="39">
        <f>IF(Q105="MP",I105-P105,0)</f>
        <v>0</v>
      </c>
      <c r="X105" s="39">
        <f>IF(Q105="OM",H105,0)</f>
        <v>0</v>
      </c>
      <c r="Y105" s="28"/>
      <c r="AI105" s="39">
        <f>SUM(Z106:Z106)</f>
        <v>0</v>
      </c>
      <c r="AJ105" s="39">
        <f>SUM(AA106:AA106)</f>
        <v>0</v>
      </c>
      <c r="AK105" s="39">
        <f>SUM(AB106:AB106)</f>
        <v>0</v>
      </c>
    </row>
    <row r="106" spans="1:43" ht="12.75">
      <c r="A106" s="4" t="s">
        <v>45</v>
      </c>
      <c r="B106" s="4"/>
      <c r="C106" s="4" t="s">
        <v>97</v>
      </c>
      <c r="D106" s="4" t="s">
        <v>200</v>
      </c>
      <c r="E106" s="4" t="s">
        <v>235</v>
      </c>
      <c r="F106" s="18">
        <v>26.21</v>
      </c>
      <c r="G106" s="18">
        <v>0</v>
      </c>
      <c r="H106" s="18">
        <f>F106*AE106</f>
        <v>0</v>
      </c>
      <c r="I106" s="18">
        <f>J106-H106</f>
        <v>0</v>
      </c>
      <c r="J106" s="18">
        <f>F106*G106</f>
        <v>0</v>
      </c>
      <c r="K106" s="18">
        <v>0.24</v>
      </c>
      <c r="L106" s="18">
        <f>F106*K106</f>
        <v>6.2904</v>
      </c>
      <c r="M106" s="31" t="s">
        <v>256</v>
      </c>
      <c r="N106" s="31" t="s">
        <v>7</v>
      </c>
      <c r="O106" s="18">
        <f>IF(N106="5",I106,0)</f>
        <v>0</v>
      </c>
      <c r="Z106" s="18">
        <f>IF(AD106=0,J106,0)</f>
        <v>0</v>
      </c>
      <c r="AA106" s="18">
        <f>IF(AD106=15,J106,0)</f>
        <v>0</v>
      </c>
      <c r="AB106" s="18">
        <f>IF(AD106=21,J106,0)</f>
        <v>0</v>
      </c>
      <c r="AD106" s="36">
        <v>21</v>
      </c>
      <c r="AE106" s="36">
        <f>G106*0.836176100628931</f>
        <v>0</v>
      </c>
      <c r="AF106" s="36">
        <f>G106*(1-0.836176100628931)</f>
        <v>0</v>
      </c>
      <c r="AM106" s="36">
        <f>F106*AE106</f>
        <v>0</v>
      </c>
      <c r="AN106" s="36">
        <f>F106*AF106</f>
        <v>0</v>
      </c>
      <c r="AO106" s="37" t="s">
        <v>283</v>
      </c>
      <c r="AP106" s="37" t="s">
        <v>295</v>
      </c>
      <c r="AQ106" s="28" t="s">
        <v>299</v>
      </c>
    </row>
    <row r="107" spans="4:6" ht="12.75">
      <c r="D107" s="16" t="s">
        <v>201</v>
      </c>
      <c r="F107" s="19">
        <v>26.21</v>
      </c>
    </row>
    <row r="108" spans="1:37" ht="12.75">
      <c r="A108" s="5"/>
      <c r="B108" s="13"/>
      <c r="C108" s="13" t="s">
        <v>98</v>
      </c>
      <c r="D108" s="67" t="s">
        <v>202</v>
      </c>
      <c r="E108" s="68"/>
      <c r="F108" s="68"/>
      <c r="G108" s="68"/>
      <c r="H108" s="39">
        <f>SUM(H109:H111)</f>
        <v>0</v>
      </c>
      <c r="I108" s="39">
        <f>SUM(I109:I111)</f>
        <v>0</v>
      </c>
      <c r="J108" s="39">
        <f>H108+I108</f>
        <v>0</v>
      </c>
      <c r="K108" s="28"/>
      <c r="L108" s="39">
        <f>SUM(L109:L111)</f>
        <v>0.06531870000000001</v>
      </c>
      <c r="M108" s="28"/>
      <c r="P108" s="39">
        <f>IF(Q108="PR",J108,SUM(O109:O111))</f>
        <v>0</v>
      </c>
      <c r="Q108" s="28" t="s">
        <v>262</v>
      </c>
      <c r="R108" s="39">
        <f>IF(Q108="HS",H108,0)</f>
        <v>0</v>
      </c>
      <c r="S108" s="39">
        <f>IF(Q108="HS",I108-P108,0)</f>
        <v>0</v>
      </c>
      <c r="T108" s="39">
        <f>IF(Q108="PS",H108,0)</f>
        <v>0</v>
      </c>
      <c r="U108" s="39">
        <f>IF(Q108="PS",I108-P108,0)</f>
        <v>0</v>
      </c>
      <c r="V108" s="39">
        <f>IF(Q108="MP",H108,0)</f>
        <v>0</v>
      </c>
      <c r="W108" s="39">
        <f>IF(Q108="MP",I108-P108,0)</f>
        <v>0</v>
      </c>
      <c r="X108" s="39">
        <f>IF(Q108="OM",H108,0)</f>
        <v>0</v>
      </c>
      <c r="Y108" s="28"/>
      <c r="AI108" s="39">
        <f>SUM(Z109:Z111)</f>
        <v>0</v>
      </c>
      <c r="AJ108" s="39">
        <f>SUM(AA109:AA111)</f>
        <v>0</v>
      </c>
      <c r="AK108" s="39">
        <f>SUM(AB109:AB111)</f>
        <v>0</v>
      </c>
    </row>
    <row r="109" spans="1:43" ht="12.75">
      <c r="A109" s="4" t="s">
        <v>46</v>
      </c>
      <c r="B109" s="4"/>
      <c r="C109" s="4" t="s">
        <v>99</v>
      </c>
      <c r="D109" s="4" t="s">
        <v>203</v>
      </c>
      <c r="E109" s="4" t="s">
        <v>235</v>
      </c>
      <c r="F109" s="18">
        <v>27.33</v>
      </c>
      <c r="G109" s="18">
        <v>0</v>
      </c>
      <c r="H109" s="18">
        <f>F109*AE109</f>
        <v>0</v>
      </c>
      <c r="I109" s="18">
        <f>J109-H109</f>
        <v>0</v>
      </c>
      <c r="J109" s="18">
        <f>F109*G109</f>
        <v>0</v>
      </c>
      <c r="K109" s="18">
        <v>0.00033</v>
      </c>
      <c r="L109" s="18">
        <f>F109*K109</f>
        <v>0.0090189</v>
      </c>
      <c r="M109" s="31" t="s">
        <v>256</v>
      </c>
      <c r="N109" s="31" t="s">
        <v>7</v>
      </c>
      <c r="O109" s="18">
        <f>IF(N109="5",I109,0)</f>
        <v>0</v>
      </c>
      <c r="Z109" s="18">
        <f>IF(AD109=0,J109,0)</f>
        <v>0</v>
      </c>
      <c r="AA109" s="18">
        <f>IF(AD109=15,J109,0)</f>
        <v>0</v>
      </c>
      <c r="AB109" s="18">
        <f>IF(AD109=21,J109,0)</f>
        <v>0</v>
      </c>
      <c r="AD109" s="36">
        <v>21</v>
      </c>
      <c r="AE109" s="36">
        <f>G109*0.662139917695473</f>
        <v>0</v>
      </c>
      <c r="AF109" s="36">
        <f>G109*(1-0.662139917695473)</f>
        <v>0</v>
      </c>
      <c r="AM109" s="36">
        <f>F109*AE109</f>
        <v>0</v>
      </c>
      <c r="AN109" s="36">
        <f>F109*AF109</f>
        <v>0</v>
      </c>
      <c r="AO109" s="37" t="s">
        <v>284</v>
      </c>
      <c r="AP109" s="37" t="s">
        <v>296</v>
      </c>
      <c r="AQ109" s="28" t="s">
        <v>299</v>
      </c>
    </row>
    <row r="110" spans="4:6" ht="12.75">
      <c r="D110" s="16" t="s">
        <v>204</v>
      </c>
      <c r="F110" s="19">
        <v>27.33</v>
      </c>
    </row>
    <row r="111" spans="1:43" ht="12.75">
      <c r="A111" s="4" t="s">
        <v>47</v>
      </c>
      <c r="B111" s="4"/>
      <c r="C111" s="4" t="s">
        <v>100</v>
      </c>
      <c r="D111" s="4" t="s">
        <v>205</v>
      </c>
      <c r="E111" s="4" t="s">
        <v>235</v>
      </c>
      <c r="F111" s="18">
        <v>54.66</v>
      </c>
      <c r="G111" s="18">
        <v>0</v>
      </c>
      <c r="H111" s="18">
        <f>F111*AE111</f>
        <v>0</v>
      </c>
      <c r="I111" s="18">
        <f>J111-H111</f>
        <v>0</v>
      </c>
      <c r="J111" s="18">
        <f>F111*G111</f>
        <v>0</v>
      </c>
      <c r="K111" s="18">
        <v>0.00103</v>
      </c>
      <c r="L111" s="18">
        <f>F111*K111</f>
        <v>0.056299800000000004</v>
      </c>
      <c r="M111" s="31" t="s">
        <v>256</v>
      </c>
      <c r="N111" s="31" t="s">
        <v>7</v>
      </c>
      <c r="O111" s="18">
        <f>IF(N111="5",I111,0)</f>
        <v>0</v>
      </c>
      <c r="Z111" s="18">
        <f>IF(AD111=0,J111,0)</f>
        <v>0</v>
      </c>
      <c r="AA111" s="18">
        <f>IF(AD111=15,J111,0)</f>
        <v>0</v>
      </c>
      <c r="AB111" s="18">
        <f>IF(AD111=21,J111,0)</f>
        <v>0</v>
      </c>
      <c r="AD111" s="36">
        <v>21</v>
      </c>
      <c r="AE111" s="36">
        <f>G111*0.59010786635096</f>
        <v>0</v>
      </c>
      <c r="AF111" s="36">
        <f>G111*(1-0.59010786635096)</f>
        <v>0</v>
      </c>
      <c r="AM111" s="36">
        <f>F111*AE111</f>
        <v>0</v>
      </c>
      <c r="AN111" s="36">
        <f>F111*AF111</f>
        <v>0</v>
      </c>
      <c r="AO111" s="37" t="s">
        <v>284</v>
      </c>
      <c r="AP111" s="37" t="s">
        <v>296</v>
      </c>
      <c r="AQ111" s="28" t="s">
        <v>299</v>
      </c>
    </row>
    <row r="112" spans="4:6" ht="12.75">
      <c r="D112" s="16" t="s">
        <v>206</v>
      </c>
      <c r="F112" s="19">
        <v>54.66</v>
      </c>
    </row>
    <row r="113" spans="1:37" ht="12.75">
      <c r="A113" s="5"/>
      <c r="B113" s="13"/>
      <c r="C113" s="13" t="s">
        <v>101</v>
      </c>
      <c r="D113" s="67" t="s">
        <v>207</v>
      </c>
      <c r="E113" s="68"/>
      <c r="F113" s="68"/>
      <c r="G113" s="68"/>
      <c r="H113" s="39">
        <f>SUM(H114:H118)</f>
        <v>0</v>
      </c>
      <c r="I113" s="39">
        <f>SUM(I114:I118)</f>
        <v>0</v>
      </c>
      <c r="J113" s="39">
        <f>H113+I113</f>
        <v>0</v>
      </c>
      <c r="K113" s="28"/>
      <c r="L113" s="39">
        <f>SUM(L114:L118)</f>
        <v>1.2132527</v>
      </c>
      <c r="M113" s="28"/>
      <c r="P113" s="39">
        <f>IF(Q113="PR",J113,SUM(O114:O118))</f>
        <v>0</v>
      </c>
      <c r="Q113" s="28" t="s">
        <v>262</v>
      </c>
      <c r="R113" s="39">
        <f>IF(Q113="HS",H113,0)</f>
        <v>0</v>
      </c>
      <c r="S113" s="39">
        <f>IF(Q113="HS",I113-P113,0)</f>
        <v>0</v>
      </c>
      <c r="T113" s="39">
        <f>IF(Q113="PS",H113,0)</f>
        <v>0</v>
      </c>
      <c r="U113" s="39">
        <f>IF(Q113="PS",I113-P113,0)</f>
        <v>0</v>
      </c>
      <c r="V113" s="39">
        <f>IF(Q113="MP",H113,0)</f>
        <v>0</v>
      </c>
      <c r="W113" s="39">
        <f>IF(Q113="MP",I113-P113,0)</f>
        <v>0</v>
      </c>
      <c r="X113" s="39">
        <f>IF(Q113="OM",H113,0)</f>
        <v>0</v>
      </c>
      <c r="Y113" s="28"/>
      <c r="AI113" s="39">
        <f>SUM(Z114:Z118)</f>
        <v>0</v>
      </c>
      <c r="AJ113" s="39">
        <f>SUM(AA114:AA118)</f>
        <v>0</v>
      </c>
      <c r="AK113" s="39">
        <f>SUM(AB114:AB118)</f>
        <v>0</v>
      </c>
    </row>
    <row r="114" spans="1:43" ht="12.75">
      <c r="A114" s="4" t="s">
        <v>48</v>
      </c>
      <c r="B114" s="4"/>
      <c r="C114" s="4" t="s">
        <v>102</v>
      </c>
      <c r="D114" s="4" t="s">
        <v>208</v>
      </c>
      <c r="E114" s="4" t="s">
        <v>236</v>
      </c>
      <c r="F114" s="18">
        <v>26.75</v>
      </c>
      <c r="G114" s="18">
        <v>0</v>
      </c>
      <c r="H114" s="18">
        <f>F114*AE114</f>
        <v>0</v>
      </c>
      <c r="I114" s="18">
        <f>J114-H114</f>
        <v>0</v>
      </c>
      <c r="J114" s="18">
        <f>F114*G114</f>
        <v>0</v>
      </c>
      <c r="K114" s="18">
        <v>0.01193</v>
      </c>
      <c r="L114" s="18">
        <f>F114*K114</f>
        <v>0.3191275</v>
      </c>
      <c r="M114" s="31" t="s">
        <v>256</v>
      </c>
      <c r="N114" s="31" t="s">
        <v>9</v>
      </c>
      <c r="O114" s="18">
        <f>IF(N114="5",I114,0)</f>
        <v>0</v>
      </c>
      <c r="Z114" s="18">
        <f>IF(AD114=0,J114,0)</f>
        <v>0</v>
      </c>
      <c r="AA114" s="18">
        <f>IF(AD114=15,J114,0)</f>
        <v>0</v>
      </c>
      <c r="AB114" s="18">
        <f>IF(AD114=21,J114,0)</f>
        <v>0</v>
      </c>
      <c r="AD114" s="36">
        <v>21</v>
      </c>
      <c r="AE114" s="36">
        <f>G114*0.0689304595363969</f>
        <v>0</v>
      </c>
      <c r="AF114" s="36">
        <f>G114*(1-0.0689304595363969)</f>
        <v>0</v>
      </c>
      <c r="AM114" s="36">
        <f>F114*AE114</f>
        <v>0</v>
      </c>
      <c r="AN114" s="36">
        <f>F114*AF114</f>
        <v>0</v>
      </c>
      <c r="AO114" s="37" t="s">
        <v>285</v>
      </c>
      <c r="AP114" s="37" t="s">
        <v>297</v>
      </c>
      <c r="AQ114" s="28" t="s">
        <v>299</v>
      </c>
    </row>
    <row r="115" spans="4:6" ht="12.75">
      <c r="D115" s="16" t="s">
        <v>209</v>
      </c>
      <c r="F115" s="19">
        <v>26.75</v>
      </c>
    </row>
    <row r="116" spans="1:43" ht="12.75">
      <c r="A116" s="4" t="s">
        <v>49</v>
      </c>
      <c r="B116" s="4"/>
      <c r="C116" s="4" t="s">
        <v>103</v>
      </c>
      <c r="D116" s="4" t="s">
        <v>210</v>
      </c>
      <c r="E116" s="4" t="s">
        <v>236</v>
      </c>
      <c r="F116" s="18">
        <v>6</v>
      </c>
      <c r="G116" s="18">
        <v>0</v>
      </c>
      <c r="H116" s="18">
        <f>F116*AE116</f>
        <v>0</v>
      </c>
      <c r="I116" s="18">
        <f>J116-H116</f>
        <v>0</v>
      </c>
      <c r="J116" s="18">
        <f>F116*G116</f>
        <v>0</v>
      </c>
      <c r="K116" s="18">
        <v>0</v>
      </c>
      <c r="L116" s="18">
        <f>F116*K116</f>
        <v>0</v>
      </c>
      <c r="M116" s="31" t="s">
        <v>256</v>
      </c>
      <c r="N116" s="31" t="s">
        <v>7</v>
      </c>
      <c r="O116" s="18">
        <f>IF(N116="5",I116,0)</f>
        <v>0</v>
      </c>
      <c r="Z116" s="18">
        <f>IF(AD116=0,J116,0)</f>
        <v>0</v>
      </c>
      <c r="AA116" s="18">
        <f>IF(AD116=15,J116,0)</f>
        <v>0</v>
      </c>
      <c r="AB116" s="18">
        <f>IF(AD116=21,J116,0)</f>
        <v>0</v>
      </c>
      <c r="AD116" s="36">
        <v>21</v>
      </c>
      <c r="AE116" s="36">
        <f>G116*0</f>
        <v>0</v>
      </c>
      <c r="AF116" s="36">
        <f>G116*(1-0)</f>
        <v>0</v>
      </c>
      <c r="AM116" s="36">
        <f>F116*AE116</f>
        <v>0</v>
      </c>
      <c r="AN116" s="36">
        <f>F116*AF116</f>
        <v>0</v>
      </c>
      <c r="AO116" s="37" t="s">
        <v>285</v>
      </c>
      <c r="AP116" s="37" t="s">
        <v>297</v>
      </c>
      <c r="AQ116" s="28" t="s">
        <v>299</v>
      </c>
    </row>
    <row r="117" spans="4:6" ht="12.75">
      <c r="D117" s="16" t="s">
        <v>211</v>
      </c>
      <c r="F117" s="19">
        <v>6</v>
      </c>
    </row>
    <row r="118" spans="1:43" ht="12.75">
      <c r="A118" s="4" t="s">
        <v>50</v>
      </c>
      <c r="B118" s="4"/>
      <c r="C118" s="4" t="s">
        <v>104</v>
      </c>
      <c r="D118" s="4" t="s">
        <v>212</v>
      </c>
      <c r="E118" s="4" t="s">
        <v>238</v>
      </c>
      <c r="F118" s="18">
        <v>0.17</v>
      </c>
      <c r="G118" s="18">
        <v>0</v>
      </c>
      <c r="H118" s="18">
        <f>F118*AE118</f>
        <v>0</v>
      </c>
      <c r="I118" s="18">
        <f>J118-H118</f>
        <v>0</v>
      </c>
      <c r="J118" s="18">
        <f>F118*G118</f>
        <v>0</v>
      </c>
      <c r="K118" s="18">
        <v>5.25956</v>
      </c>
      <c r="L118" s="18">
        <f>F118*K118</f>
        <v>0.8941252</v>
      </c>
      <c r="M118" s="31" t="s">
        <v>256</v>
      </c>
      <c r="N118" s="31" t="s">
        <v>9</v>
      </c>
      <c r="O118" s="18">
        <f>IF(N118="5",I118,0)</f>
        <v>0</v>
      </c>
      <c r="Z118" s="18">
        <f>IF(AD118=0,J118,0)</f>
        <v>0</v>
      </c>
      <c r="AA118" s="18">
        <f>IF(AD118=15,J118,0)</f>
        <v>0</v>
      </c>
      <c r="AB118" s="18">
        <f>IF(AD118=21,J118,0)</f>
        <v>0</v>
      </c>
      <c r="AD118" s="36">
        <v>21</v>
      </c>
      <c r="AE118" s="36">
        <f>G118*0.727812563603598</f>
        <v>0</v>
      </c>
      <c r="AF118" s="36">
        <f>G118*(1-0.727812563603598)</f>
        <v>0</v>
      </c>
      <c r="AM118" s="36">
        <f>F118*AE118</f>
        <v>0</v>
      </c>
      <c r="AN118" s="36">
        <f>F118*AF118</f>
        <v>0</v>
      </c>
      <c r="AO118" s="37" t="s">
        <v>285</v>
      </c>
      <c r="AP118" s="37" t="s">
        <v>297</v>
      </c>
      <c r="AQ118" s="28" t="s">
        <v>299</v>
      </c>
    </row>
    <row r="119" spans="4:6" ht="12.75">
      <c r="D119" s="16" t="s">
        <v>213</v>
      </c>
      <c r="F119" s="19">
        <v>0.17</v>
      </c>
    </row>
    <row r="120" spans="1:37" ht="12.75">
      <c r="A120" s="5"/>
      <c r="B120" s="13"/>
      <c r="C120" s="13" t="s">
        <v>105</v>
      </c>
      <c r="D120" s="67" t="s">
        <v>214</v>
      </c>
      <c r="E120" s="68"/>
      <c r="F120" s="68"/>
      <c r="G120" s="68"/>
      <c r="H120" s="39">
        <f>SUM(H121:H126)</f>
        <v>0</v>
      </c>
      <c r="I120" s="39">
        <f>SUM(I121:I126)</f>
        <v>0</v>
      </c>
      <c r="J120" s="39">
        <f>H120+I120</f>
        <v>0</v>
      </c>
      <c r="K120" s="28"/>
      <c r="L120" s="39">
        <f>SUM(L121:L126)</f>
        <v>11.807617299999999</v>
      </c>
      <c r="M120" s="28"/>
      <c r="P120" s="39">
        <f>IF(Q120="PR",J120,SUM(O121:O126))</f>
        <v>0</v>
      </c>
      <c r="Q120" s="28" t="s">
        <v>261</v>
      </c>
      <c r="R120" s="39">
        <f>IF(Q120="HS",H120,0)</f>
        <v>0</v>
      </c>
      <c r="S120" s="39">
        <f>IF(Q120="HS",I120-P120,0)</f>
        <v>0</v>
      </c>
      <c r="T120" s="39">
        <f>IF(Q120="PS",H120,0)</f>
        <v>0</v>
      </c>
      <c r="U120" s="39">
        <f>IF(Q120="PS",I120-P120,0)</f>
        <v>0</v>
      </c>
      <c r="V120" s="39">
        <f>IF(Q120="MP",H120,0)</f>
        <v>0</v>
      </c>
      <c r="W120" s="39">
        <f>IF(Q120="MP",I120-P120,0)</f>
        <v>0</v>
      </c>
      <c r="X120" s="39">
        <f>IF(Q120="OM",H120,0)</f>
        <v>0</v>
      </c>
      <c r="Y120" s="28"/>
      <c r="AI120" s="39">
        <f>SUM(Z121:Z126)</f>
        <v>0</v>
      </c>
      <c r="AJ120" s="39">
        <f>SUM(AA121:AA126)</f>
        <v>0</v>
      </c>
      <c r="AK120" s="39">
        <f>SUM(AB121:AB126)</f>
        <v>0</v>
      </c>
    </row>
    <row r="121" spans="1:43" ht="12.75">
      <c r="A121" s="4" t="s">
        <v>51</v>
      </c>
      <c r="B121" s="4"/>
      <c r="C121" s="4" t="s">
        <v>106</v>
      </c>
      <c r="D121" s="4" t="s">
        <v>215</v>
      </c>
      <c r="E121" s="4" t="s">
        <v>236</v>
      </c>
      <c r="F121" s="18">
        <v>35.69</v>
      </c>
      <c r="G121" s="18">
        <v>0</v>
      </c>
      <c r="H121" s="18">
        <f>F121*AE121</f>
        <v>0</v>
      </c>
      <c r="I121" s="18">
        <f>J121-H121</f>
        <v>0</v>
      </c>
      <c r="J121" s="18">
        <f>F121*G121</f>
        <v>0</v>
      </c>
      <c r="K121" s="18">
        <v>0.22937</v>
      </c>
      <c r="L121" s="18">
        <f>F121*K121</f>
        <v>8.186215299999999</v>
      </c>
      <c r="M121" s="31" t="s">
        <v>256</v>
      </c>
      <c r="N121" s="31" t="s">
        <v>7</v>
      </c>
      <c r="O121" s="18">
        <f>IF(N121="5",I121,0)</f>
        <v>0</v>
      </c>
      <c r="Z121" s="18">
        <f>IF(AD121=0,J121,0)</f>
        <v>0</v>
      </c>
      <c r="AA121" s="18">
        <f>IF(AD121=15,J121,0)</f>
        <v>0</v>
      </c>
      <c r="AB121" s="18">
        <f>IF(AD121=21,J121,0)</f>
        <v>0</v>
      </c>
      <c r="AD121" s="36">
        <v>21</v>
      </c>
      <c r="AE121" s="36">
        <f>G121*0.747805363661046</f>
        <v>0</v>
      </c>
      <c r="AF121" s="36">
        <f>G121*(1-0.747805363661046)</f>
        <v>0</v>
      </c>
      <c r="AM121" s="36">
        <f>F121*AE121</f>
        <v>0</v>
      </c>
      <c r="AN121" s="36">
        <f>F121*AF121</f>
        <v>0</v>
      </c>
      <c r="AO121" s="37" t="s">
        <v>286</v>
      </c>
      <c r="AP121" s="37" t="s">
        <v>298</v>
      </c>
      <c r="AQ121" s="28" t="s">
        <v>299</v>
      </c>
    </row>
    <row r="122" spans="4:6" ht="12.75">
      <c r="D122" s="16" t="s">
        <v>216</v>
      </c>
      <c r="F122" s="19">
        <v>35.69</v>
      </c>
    </row>
    <row r="123" spans="3:13" ht="12.75">
      <c r="C123" s="14" t="s">
        <v>58</v>
      </c>
      <c r="D123" s="69" t="s">
        <v>217</v>
      </c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43" ht="12.75">
      <c r="A124" s="4" t="s">
        <v>52</v>
      </c>
      <c r="B124" s="4"/>
      <c r="C124" s="4" t="s">
        <v>107</v>
      </c>
      <c r="D124" s="4" t="s">
        <v>215</v>
      </c>
      <c r="E124" s="4" t="s">
        <v>236</v>
      </c>
      <c r="F124" s="18">
        <v>17.3</v>
      </c>
      <c r="G124" s="18">
        <v>0</v>
      </c>
      <c r="H124" s="18">
        <f>F124*AE124</f>
        <v>0</v>
      </c>
      <c r="I124" s="18">
        <f>J124-H124</f>
        <v>0</v>
      </c>
      <c r="J124" s="18">
        <f>F124*G124</f>
        <v>0</v>
      </c>
      <c r="K124" s="18">
        <v>0.14874</v>
      </c>
      <c r="L124" s="18">
        <f>F124*K124</f>
        <v>2.573202</v>
      </c>
      <c r="M124" s="31" t="s">
        <v>256</v>
      </c>
      <c r="N124" s="31" t="s">
        <v>7</v>
      </c>
      <c r="O124" s="18">
        <f>IF(N124="5",I124,0)</f>
        <v>0</v>
      </c>
      <c r="Z124" s="18">
        <f>IF(AD124=0,J124,0)</f>
        <v>0</v>
      </c>
      <c r="AA124" s="18">
        <f>IF(AD124=15,J124,0)</f>
        <v>0</v>
      </c>
      <c r="AB124" s="18">
        <f>IF(AD124=21,J124,0)</f>
        <v>0</v>
      </c>
      <c r="AD124" s="36">
        <v>21</v>
      </c>
      <c r="AE124" s="36">
        <f>G124*0.578820091692277</f>
        <v>0</v>
      </c>
      <c r="AF124" s="36">
        <f>G124*(1-0.578820091692277)</f>
        <v>0</v>
      </c>
      <c r="AM124" s="36">
        <f>F124*AE124</f>
        <v>0</v>
      </c>
      <c r="AN124" s="36">
        <f>F124*AF124</f>
        <v>0</v>
      </c>
      <c r="AO124" s="37" t="s">
        <v>286</v>
      </c>
      <c r="AP124" s="37" t="s">
        <v>298</v>
      </c>
      <c r="AQ124" s="28" t="s">
        <v>299</v>
      </c>
    </row>
    <row r="125" spans="4:6" ht="12.75">
      <c r="D125" s="16" t="s">
        <v>218</v>
      </c>
      <c r="F125" s="19">
        <v>17.3</v>
      </c>
    </row>
    <row r="126" spans="1:43" ht="12.75">
      <c r="A126" s="6" t="s">
        <v>53</v>
      </c>
      <c r="B126" s="6"/>
      <c r="C126" s="6" t="s">
        <v>108</v>
      </c>
      <c r="D126" s="6" t="s">
        <v>219</v>
      </c>
      <c r="E126" s="6" t="s">
        <v>237</v>
      </c>
      <c r="F126" s="20">
        <v>17.47</v>
      </c>
      <c r="G126" s="20">
        <v>0</v>
      </c>
      <c r="H126" s="20">
        <f>F126*AE126</f>
        <v>0</v>
      </c>
      <c r="I126" s="20">
        <f>J126-H126</f>
        <v>0</v>
      </c>
      <c r="J126" s="20">
        <f>F126*G126</f>
        <v>0</v>
      </c>
      <c r="K126" s="20">
        <v>0.06</v>
      </c>
      <c r="L126" s="20">
        <f>F126*K126</f>
        <v>1.0481999999999998</v>
      </c>
      <c r="M126" s="32" t="s">
        <v>256</v>
      </c>
      <c r="N126" s="32" t="s">
        <v>258</v>
      </c>
      <c r="O126" s="20">
        <f>IF(N126="5",I126,0)</f>
        <v>0</v>
      </c>
      <c r="Z126" s="20">
        <f>IF(AD126=0,J126,0)</f>
        <v>0</v>
      </c>
      <c r="AA126" s="20">
        <f>IF(AD126=15,J126,0)</f>
        <v>0</v>
      </c>
      <c r="AB126" s="20">
        <f>IF(AD126=21,J126,0)</f>
        <v>0</v>
      </c>
      <c r="AD126" s="36">
        <v>21</v>
      </c>
      <c r="AE126" s="36">
        <f>G126*1</f>
        <v>0</v>
      </c>
      <c r="AF126" s="36">
        <f>G126*(1-1)</f>
        <v>0</v>
      </c>
      <c r="AM126" s="36">
        <f>F126*AE126</f>
        <v>0</v>
      </c>
      <c r="AN126" s="36">
        <f>F126*AF126</f>
        <v>0</v>
      </c>
      <c r="AO126" s="37" t="s">
        <v>286</v>
      </c>
      <c r="AP126" s="37" t="s">
        <v>298</v>
      </c>
      <c r="AQ126" s="28" t="s">
        <v>299</v>
      </c>
    </row>
    <row r="127" spans="4:6" ht="12.75">
      <c r="D127" s="16" t="s">
        <v>218</v>
      </c>
      <c r="F127" s="19">
        <v>17.3</v>
      </c>
    </row>
    <row r="128" spans="4:6" ht="12.75">
      <c r="D128" s="16" t="s">
        <v>220</v>
      </c>
      <c r="F128" s="19">
        <v>0.17</v>
      </c>
    </row>
    <row r="129" spans="1:37" ht="12.75">
      <c r="A129" s="5"/>
      <c r="B129" s="13"/>
      <c r="C129" s="13" t="s">
        <v>109</v>
      </c>
      <c r="D129" s="67" t="s">
        <v>221</v>
      </c>
      <c r="E129" s="68"/>
      <c r="F129" s="68"/>
      <c r="G129" s="68"/>
      <c r="H129" s="39">
        <f>SUM(H130:H131)</f>
        <v>0</v>
      </c>
      <c r="I129" s="39">
        <f>SUM(I130:I131)</f>
        <v>0</v>
      </c>
      <c r="J129" s="39">
        <f>H129+I129</f>
        <v>0</v>
      </c>
      <c r="K129" s="28"/>
      <c r="L129" s="39">
        <f>SUM(L130:L131)</f>
        <v>0</v>
      </c>
      <c r="M129" s="28"/>
      <c r="P129" s="39">
        <f>IF(Q129="PR",J129,SUM(O130:O131))</f>
        <v>0</v>
      </c>
      <c r="Q129" s="28" t="s">
        <v>261</v>
      </c>
      <c r="R129" s="39">
        <f>IF(Q129="HS",H129,0)</f>
        <v>0</v>
      </c>
      <c r="S129" s="39">
        <f>IF(Q129="HS",I129-P129,0)</f>
        <v>0</v>
      </c>
      <c r="T129" s="39">
        <f>IF(Q129="PS",H129,0)</f>
        <v>0</v>
      </c>
      <c r="U129" s="39">
        <f>IF(Q129="PS",I129-P129,0)</f>
        <v>0</v>
      </c>
      <c r="V129" s="39">
        <f>IF(Q129="MP",H129,0)</f>
        <v>0</v>
      </c>
      <c r="W129" s="39">
        <f>IF(Q129="MP",I129-P129,0)</f>
        <v>0</v>
      </c>
      <c r="X129" s="39">
        <f>IF(Q129="OM",H129,0)</f>
        <v>0</v>
      </c>
      <c r="Y129" s="28"/>
      <c r="AI129" s="39">
        <f>SUM(Z130:Z131)</f>
        <v>0</v>
      </c>
      <c r="AJ129" s="39">
        <f>SUM(AA130:AA131)</f>
        <v>0</v>
      </c>
      <c r="AK129" s="39">
        <f>SUM(AB130:AB131)</f>
        <v>0</v>
      </c>
    </row>
    <row r="130" spans="1:43" ht="12.75">
      <c r="A130" s="4" t="s">
        <v>54</v>
      </c>
      <c r="B130" s="4"/>
      <c r="C130" s="4" t="s">
        <v>110</v>
      </c>
      <c r="D130" s="4" t="s">
        <v>222</v>
      </c>
      <c r="E130" s="4" t="s">
        <v>234</v>
      </c>
      <c r="F130" s="18">
        <v>336.1739</v>
      </c>
      <c r="G130" s="18">
        <v>0</v>
      </c>
      <c r="H130" s="18">
        <f>F130*AE130</f>
        <v>0</v>
      </c>
      <c r="I130" s="18">
        <f>J130-H130</f>
        <v>0</v>
      </c>
      <c r="J130" s="18">
        <f>F130*G130</f>
        <v>0</v>
      </c>
      <c r="K130" s="18">
        <v>0</v>
      </c>
      <c r="L130" s="18">
        <f>F130*K130</f>
        <v>0</v>
      </c>
      <c r="M130" s="31" t="s">
        <v>256</v>
      </c>
      <c r="N130" s="31" t="s">
        <v>11</v>
      </c>
      <c r="O130" s="18">
        <f>IF(N130="5",I130,0)</f>
        <v>0</v>
      </c>
      <c r="Z130" s="18">
        <f>IF(AD130=0,J130,0)</f>
        <v>0</v>
      </c>
      <c r="AA130" s="18">
        <f>IF(AD130=15,J130,0)</f>
        <v>0</v>
      </c>
      <c r="AB130" s="18">
        <f>IF(AD130=21,J130,0)</f>
        <v>0</v>
      </c>
      <c r="AD130" s="36">
        <v>21</v>
      </c>
      <c r="AE130" s="36">
        <f>G130*0</f>
        <v>0</v>
      </c>
      <c r="AF130" s="36">
        <f>G130*(1-0)</f>
        <v>0</v>
      </c>
      <c r="AM130" s="36">
        <f>F130*AE130</f>
        <v>0</v>
      </c>
      <c r="AN130" s="36">
        <f>F130*AF130</f>
        <v>0</v>
      </c>
      <c r="AO130" s="37" t="s">
        <v>287</v>
      </c>
      <c r="AP130" s="37" t="s">
        <v>298</v>
      </c>
      <c r="AQ130" s="28" t="s">
        <v>299</v>
      </c>
    </row>
    <row r="131" spans="1:43" ht="12.75">
      <c r="A131" s="4" t="s">
        <v>55</v>
      </c>
      <c r="B131" s="4"/>
      <c r="C131" s="4" t="s">
        <v>111</v>
      </c>
      <c r="D131" s="4" t="s">
        <v>223</v>
      </c>
      <c r="E131" s="4" t="s">
        <v>234</v>
      </c>
      <c r="F131" s="18">
        <v>0.3191</v>
      </c>
      <c r="G131" s="18">
        <v>0</v>
      </c>
      <c r="H131" s="18">
        <f>F131*AE131</f>
        <v>0</v>
      </c>
      <c r="I131" s="18">
        <f>J131-H131</f>
        <v>0</v>
      </c>
      <c r="J131" s="18">
        <f>F131*G131</f>
        <v>0</v>
      </c>
      <c r="K131" s="18">
        <v>0</v>
      </c>
      <c r="L131" s="18">
        <f>F131*K131</f>
        <v>0</v>
      </c>
      <c r="M131" s="31" t="s">
        <v>256</v>
      </c>
      <c r="N131" s="31" t="s">
        <v>11</v>
      </c>
      <c r="O131" s="18">
        <f>IF(N131="5",I131,0)</f>
        <v>0</v>
      </c>
      <c r="Z131" s="18">
        <f>IF(AD131=0,J131,0)</f>
        <v>0</v>
      </c>
      <c r="AA131" s="18">
        <f>IF(AD131=15,J131,0)</f>
        <v>0</v>
      </c>
      <c r="AB131" s="18">
        <f>IF(AD131=21,J131,0)</f>
        <v>0</v>
      </c>
      <c r="AD131" s="36">
        <v>21</v>
      </c>
      <c r="AE131" s="36">
        <f>G131*0</f>
        <v>0</v>
      </c>
      <c r="AF131" s="36">
        <f>G131*(1-0)</f>
        <v>0</v>
      </c>
      <c r="AM131" s="36">
        <f>F131*AE131</f>
        <v>0</v>
      </c>
      <c r="AN131" s="36">
        <f>F131*AF131</f>
        <v>0</v>
      </c>
      <c r="AO131" s="37" t="s">
        <v>287</v>
      </c>
      <c r="AP131" s="37" t="s">
        <v>298</v>
      </c>
      <c r="AQ131" s="28" t="s">
        <v>299</v>
      </c>
    </row>
    <row r="132" spans="1:37" ht="12.75">
      <c r="A132" s="5"/>
      <c r="B132" s="13"/>
      <c r="C132" s="13" t="s">
        <v>112</v>
      </c>
      <c r="D132" s="67" t="s">
        <v>224</v>
      </c>
      <c r="E132" s="68"/>
      <c r="F132" s="68"/>
      <c r="G132" s="68"/>
      <c r="H132" s="39">
        <f>SUM(H133:H133)</f>
        <v>0</v>
      </c>
      <c r="I132" s="39">
        <f>SUM(I133:I133)</f>
        <v>0</v>
      </c>
      <c r="J132" s="39">
        <f>H132+I132</f>
        <v>0</v>
      </c>
      <c r="K132" s="28"/>
      <c r="L132" s="39">
        <f>SUM(L133:L133)</f>
        <v>0</v>
      </c>
      <c r="M132" s="28"/>
      <c r="P132" s="39">
        <f>IF(Q132="PR",J132,SUM(O133:O133))</f>
        <v>0</v>
      </c>
      <c r="Q132" s="28" t="s">
        <v>261</v>
      </c>
      <c r="R132" s="39">
        <f>IF(Q132="HS",H132,0)</f>
        <v>0</v>
      </c>
      <c r="S132" s="39">
        <f>IF(Q132="HS",I132-P132,0)</f>
        <v>0</v>
      </c>
      <c r="T132" s="39">
        <f>IF(Q132="PS",H132,0)</f>
        <v>0</v>
      </c>
      <c r="U132" s="39">
        <f>IF(Q132="PS",I132-P132,0)</f>
        <v>0</v>
      </c>
      <c r="V132" s="39">
        <f>IF(Q132="MP",H132,0)</f>
        <v>0</v>
      </c>
      <c r="W132" s="39">
        <f>IF(Q132="MP",I132-P132,0)</f>
        <v>0</v>
      </c>
      <c r="X132" s="39">
        <f>IF(Q132="OM",H132,0)</f>
        <v>0</v>
      </c>
      <c r="Y132" s="28"/>
      <c r="AI132" s="39">
        <f>SUM(Z133:Z133)</f>
        <v>0</v>
      </c>
      <c r="AJ132" s="39">
        <f>SUM(AA133:AA133)</f>
        <v>0</v>
      </c>
      <c r="AK132" s="39">
        <f>SUM(AB133:AB133)</f>
        <v>0</v>
      </c>
    </row>
    <row r="133" spans="1:43" ht="12.75">
      <c r="A133" s="4" t="s">
        <v>56</v>
      </c>
      <c r="B133" s="4"/>
      <c r="C133" s="4" t="s">
        <v>113</v>
      </c>
      <c r="D133" s="4" t="s">
        <v>225</v>
      </c>
      <c r="E133" s="4" t="s">
        <v>234</v>
      </c>
      <c r="F133" s="18">
        <v>154.63937</v>
      </c>
      <c r="G133" s="18">
        <v>0</v>
      </c>
      <c r="H133" s="18">
        <f>F133*AE133</f>
        <v>0</v>
      </c>
      <c r="I133" s="18">
        <f>J133-H133</f>
        <v>0</v>
      </c>
      <c r="J133" s="18">
        <f>F133*G133</f>
        <v>0</v>
      </c>
      <c r="K133" s="18">
        <v>0</v>
      </c>
      <c r="L133" s="18">
        <f>F133*K133</f>
        <v>0</v>
      </c>
      <c r="M133" s="31" t="s">
        <v>256</v>
      </c>
      <c r="N133" s="31" t="s">
        <v>11</v>
      </c>
      <c r="O133" s="18">
        <f>IF(N133="5",I133,0)</f>
        <v>0</v>
      </c>
      <c r="Z133" s="18">
        <f>IF(AD133=0,J133,0)</f>
        <v>0</v>
      </c>
      <c r="AA133" s="18">
        <f>IF(AD133=15,J133,0)</f>
        <v>0</v>
      </c>
      <c r="AB133" s="18">
        <f>IF(AD133=21,J133,0)</f>
        <v>0</v>
      </c>
      <c r="AD133" s="36">
        <v>21</v>
      </c>
      <c r="AE133" s="36">
        <f>G133*0</f>
        <v>0</v>
      </c>
      <c r="AF133" s="36">
        <f>G133*(1-0)</f>
        <v>0</v>
      </c>
      <c r="AM133" s="36">
        <f>F133*AE133</f>
        <v>0</v>
      </c>
      <c r="AN133" s="36">
        <f>F133*AF133</f>
        <v>0</v>
      </c>
      <c r="AO133" s="37" t="s">
        <v>288</v>
      </c>
      <c r="AP133" s="37" t="s">
        <v>298</v>
      </c>
      <c r="AQ133" s="28" t="s">
        <v>299</v>
      </c>
    </row>
    <row r="134" spans="1:37" ht="12.75">
      <c r="A134" s="5"/>
      <c r="B134" s="13"/>
      <c r="C134" s="13" t="s">
        <v>114</v>
      </c>
      <c r="D134" s="67" t="s">
        <v>226</v>
      </c>
      <c r="E134" s="68"/>
      <c r="F134" s="68"/>
      <c r="G134" s="68"/>
      <c r="H134" s="39">
        <f>SUM(H135:H135)</f>
        <v>0</v>
      </c>
      <c r="I134" s="39">
        <f>SUM(I135:I135)</f>
        <v>0</v>
      </c>
      <c r="J134" s="39">
        <f>H134+I134</f>
        <v>0</v>
      </c>
      <c r="K134" s="28"/>
      <c r="L134" s="39">
        <f>SUM(L135:L135)</f>
        <v>0</v>
      </c>
      <c r="M134" s="28"/>
      <c r="P134" s="39">
        <f>IF(Q134="PR",J134,SUM(O135:O135))</f>
        <v>0</v>
      </c>
      <c r="Q134" s="28" t="s">
        <v>263</v>
      </c>
      <c r="R134" s="39">
        <f>IF(Q134="HS",H134,0)</f>
        <v>0</v>
      </c>
      <c r="S134" s="39">
        <f>IF(Q134="HS",I134-P134,0)</f>
        <v>0</v>
      </c>
      <c r="T134" s="39">
        <f>IF(Q134="PS",H134,0)</f>
        <v>0</v>
      </c>
      <c r="U134" s="39">
        <f>IF(Q134="PS",I134-P134,0)</f>
        <v>0</v>
      </c>
      <c r="V134" s="39">
        <f>IF(Q134="MP",H134,0)</f>
        <v>0</v>
      </c>
      <c r="W134" s="39">
        <f>IF(Q134="MP",I134-P134,0)</f>
        <v>0</v>
      </c>
      <c r="X134" s="39">
        <f>IF(Q134="OM",H134,0)</f>
        <v>0</v>
      </c>
      <c r="Y134" s="28"/>
      <c r="AI134" s="39">
        <f>SUM(Z135:Z135)</f>
        <v>0</v>
      </c>
      <c r="AJ134" s="39">
        <f>SUM(AA135:AA135)</f>
        <v>0</v>
      </c>
      <c r="AK134" s="39">
        <f>SUM(AB135:AB135)</f>
        <v>0</v>
      </c>
    </row>
    <row r="135" spans="1:43" ht="12.75">
      <c r="A135" s="7" t="s">
        <v>57</v>
      </c>
      <c r="B135" s="7"/>
      <c r="C135" s="7" t="s">
        <v>115</v>
      </c>
      <c r="D135" s="7" t="s">
        <v>227</v>
      </c>
      <c r="E135" s="7" t="s">
        <v>239</v>
      </c>
      <c r="F135" s="21">
        <v>0</v>
      </c>
      <c r="G135" s="21">
        <v>0</v>
      </c>
      <c r="H135" s="21">
        <f>F135*AE135</f>
        <v>0</v>
      </c>
      <c r="I135" s="21">
        <f>J135-H135</f>
        <v>0</v>
      </c>
      <c r="J135" s="21">
        <f>F135*G135</f>
        <v>0</v>
      </c>
      <c r="K135" s="21">
        <v>0</v>
      </c>
      <c r="L135" s="21">
        <f>F135*K135</f>
        <v>0</v>
      </c>
      <c r="M135" s="33"/>
      <c r="N135" s="31" t="s">
        <v>8</v>
      </c>
      <c r="O135" s="18">
        <f>IF(N135="5",I135,0)</f>
        <v>0</v>
      </c>
      <c r="Z135" s="18">
        <f>IF(AD135=0,J135,0)</f>
        <v>0</v>
      </c>
      <c r="AA135" s="18">
        <f>IF(AD135=15,J135,0)</f>
        <v>0</v>
      </c>
      <c r="AB135" s="18">
        <f>IF(AD135=21,J135,0)</f>
        <v>0</v>
      </c>
      <c r="AD135" s="36">
        <v>21</v>
      </c>
      <c r="AE135" s="36">
        <f>G135*0</f>
        <v>0</v>
      </c>
      <c r="AF135" s="36">
        <f>G135*(1-0)</f>
        <v>0</v>
      </c>
      <c r="AM135" s="36">
        <f>F135*AE135</f>
        <v>0</v>
      </c>
      <c r="AN135" s="36">
        <f>F135*AF135</f>
        <v>0</v>
      </c>
      <c r="AO135" s="37" t="s">
        <v>289</v>
      </c>
      <c r="AP135" s="37" t="s">
        <v>298</v>
      </c>
      <c r="AQ135" s="28" t="s">
        <v>299</v>
      </c>
    </row>
    <row r="136" spans="1:43" ht="12.75">
      <c r="A136" s="60" t="s">
        <v>6</v>
      </c>
      <c r="B136" s="4"/>
      <c r="C136" s="61" t="s">
        <v>345</v>
      </c>
      <c r="D136" s="61" t="s">
        <v>191</v>
      </c>
      <c r="E136" s="4"/>
      <c r="F136" s="18"/>
      <c r="G136" s="18"/>
      <c r="H136" s="18"/>
      <c r="I136" s="18"/>
      <c r="J136" s="62" t="s">
        <v>6</v>
      </c>
      <c r="K136" s="18"/>
      <c r="L136" s="18"/>
      <c r="M136" s="31"/>
      <c r="N136" s="31"/>
      <c r="O136" s="18"/>
      <c r="Z136" s="18"/>
      <c r="AA136" s="18"/>
      <c r="AB136" s="18"/>
      <c r="AD136" s="36"/>
      <c r="AE136" s="36"/>
      <c r="AF136" s="36"/>
      <c r="AM136" s="36"/>
      <c r="AN136" s="36"/>
      <c r="AO136" s="37"/>
      <c r="AP136" s="37"/>
      <c r="AQ136" s="28"/>
    </row>
    <row r="137" spans="1:43" ht="12.75">
      <c r="A137" s="60" t="s">
        <v>367</v>
      </c>
      <c r="B137" s="4"/>
      <c r="C137" s="60" t="s">
        <v>346</v>
      </c>
      <c r="D137" s="60" t="s">
        <v>347</v>
      </c>
      <c r="E137" s="60" t="s">
        <v>236</v>
      </c>
      <c r="F137" s="18">
        <v>10</v>
      </c>
      <c r="G137" s="18" t="s">
        <v>6</v>
      </c>
      <c r="H137" s="18" t="s">
        <v>6</v>
      </c>
      <c r="I137" s="18" t="s">
        <v>6</v>
      </c>
      <c r="J137" s="62" t="s">
        <v>6</v>
      </c>
      <c r="K137" s="18">
        <v>0.27693</v>
      </c>
      <c r="L137" s="18">
        <v>2.8</v>
      </c>
      <c r="M137" s="63" t="s">
        <v>348</v>
      </c>
      <c r="N137" s="31"/>
      <c r="O137" s="18"/>
      <c r="Z137" s="18"/>
      <c r="AA137" s="18"/>
      <c r="AB137" s="18"/>
      <c r="AD137" s="36"/>
      <c r="AE137" s="36"/>
      <c r="AF137" s="36"/>
      <c r="AM137" s="36"/>
      <c r="AN137" s="36"/>
      <c r="AO137" s="37"/>
      <c r="AP137" s="37"/>
      <c r="AQ137" s="28"/>
    </row>
    <row r="138" spans="1:43" ht="12.75">
      <c r="A138" s="60"/>
      <c r="B138" s="4"/>
      <c r="C138" s="64" t="s">
        <v>58</v>
      </c>
      <c r="D138" s="60" t="s">
        <v>349</v>
      </c>
      <c r="E138" s="60"/>
      <c r="F138" s="18"/>
      <c r="G138" s="18"/>
      <c r="H138" s="18"/>
      <c r="I138" s="18"/>
      <c r="J138" s="62"/>
      <c r="K138" s="18"/>
      <c r="L138" s="18"/>
      <c r="M138" s="63"/>
      <c r="N138" s="31"/>
      <c r="O138" s="18"/>
      <c r="Z138" s="18"/>
      <c r="AA138" s="18"/>
      <c r="AB138" s="18"/>
      <c r="AD138" s="36"/>
      <c r="AE138" s="36"/>
      <c r="AF138" s="36"/>
      <c r="AM138" s="36"/>
      <c r="AN138" s="36"/>
      <c r="AO138" s="37"/>
      <c r="AP138" s="37"/>
      <c r="AQ138" s="28"/>
    </row>
    <row r="139" spans="1:43" ht="12.75">
      <c r="A139" s="60"/>
      <c r="B139" s="4"/>
      <c r="C139" s="61" t="s">
        <v>350</v>
      </c>
      <c r="D139" s="61" t="s">
        <v>351</v>
      </c>
      <c r="E139" s="60"/>
      <c r="F139" s="18"/>
      <c r="G139" s="18"/>
      <c r="H139" s="18"/>
      <c r="I139" s="18"/>
      <c r="J139" s="62" t="s">
        <v>6</v>
      </c>
      <c r="K139" s="18"/>
      <c r="L139" s="18"/>
      <c r="M139" s="31"/>
      <c r="N139" s="31"/>
      <c r="O139" s="18"/>
      <c r="Z139" s="18"/>
      <c r="AA139" s="18"/>
      <c r="AB139" s="18"/>
      <c r="AD139" s="36"/>
      <c r="AE139" s="36"/>
      <c r="AF139" s="36"/>
      <c r="AM139" s="36"/>
      <c r="AN139" s="36"/>
      <c r="AO139" s="37"/>
      <c r="AP139" s="37"/>
      <c r="AQ139" s="28"/>
    </row>
    <row r="140" spans="1:43" ht="12.75">
      <c r="A140" s="60" t="s">
        <v>370</v>
      </c>
      <c r="B140" s="4"/>
      <c r="C140" s="60" t="s">
        <v>352</v>
      </c>
      <c r="D140" s="60" t="s">
        <v>353</v>
      </c>
      <c r="E140" s="60" t="s">
        <v>236</v>
      </c>
      <c r="F140" s="18">
        <v>4.2</v>
      </c>
      <c r="G140" s="18" t="s">
        <v>6</v>
      </c>
      <c r="H140" s="18" t="s">
        <v>6</v>
      </c>
      <c r="I140" s="18" t="s">
        <v>6</v>
      </c>
      <c r="J140" s="62" t="s">
        <v>6</v>
      </c>
      <c r="K140" s="18">
        <v>0.0022</v>
      </c>
      <c r="L140" s="18">
        <v>0.01</v>
      </c>
      <c r="M140" s="63" t="s">
        <v>348</v>
      </c>
      <c r="N140" s="31"/>
      <c r="O140" s="18"/>
      <c r="Z140" s="18"/>
      <c r="AA140" s="18"/>
      <c r="AB140" s="18"/>
      <c r="AD140" s="36"/>
      <c r="AE140" s="36"/>
      <c r="AF140" s="36"/>
      <c r="AM140" s="36"/>
      <c r="AN140" s="36"/>
      <c r="AO140" s="37"/>
      <c r="AP140" s="37"/>
      <c r="AQ140" s="28"/>
    </row>
    <row r="141" spans="1:43" ht="12.75">
      <c r="A141" s="60"/>
      <c r="B141" s="4"/>
      <c r="C141" s="64" t="s">
        <v>58</v>
      </c>
      <c r="D141" s="60" t="s">
        <v>354</v>
      </c>
      <c r="E141" s="60"/>
      <c r="F141" s="18"/>
      <c r="G141" s="18"/>
      <c r="H141" s="18"/>
      <c r="I141" s="18"/>
      <c r="J141" s="62"/>
      <c r="K141" s="18"/>
      <c r="L141" s="18"/>
      <c r="M141" s="63"/>
      <c r="N141" s="31"/>
      <c r="O141" s="18"/>
      <c r="Z141" s="18"/>
      <c r="AA141" s="18"/>
      <c r="AB141" s="18"/>
      <c r="AD141" s="36"/>
      <c r="AE141" s="36"/>
      <c r="AF141" s="36"/>
      <c r="AM141" s="36"/>
      <c r="AN141" s="36"/>
      <c r="AO141" s="37"/>
      <c r="AP141" s="37"/>
      <c r="AQ141" s="28"/>
    </row>
    <row r="142" spans="1:43" ht="12.75">
      <c r="A142" s="60" t="s">
        <v>374</v>
      </c>
      <c r="B142" s="4"/>
      <c r="C142" s="60" t="s">
        <v>355</v>
      </c>
      <c r="D142" s="60" t="s">
        <v>356</v>
      </c>
      <c r="E142" s="60" t="s">
        <v>236</v>
      </c>
      <c r="F142" s="18">
        <v>6.5</v>
      </c>
      <c r="G142" s="18"/>
      <c r="H142" s="18"/>
      <c r="I142" s="18"/>
      <c r="J142" s="62"/>
      <c r="K142" s="18"/>
      <c r="L142" s="18"/>
      <c r="M142" s="63"/>
      <c r="N142" s="31"/>
      <c r="O142" s="18"/>
      <c r="Z142" s="18"/>
      <c r="AA142" s="18"/>
      <c r="AB142" s="18"/>
      <c r="AD142" s="36"/>
      <c r="AE142" s="36"/>
      <c r="AF142" s="36"/>
      <c r="AM142" s="36"/>
      <c r="AN142" s="36"/>
      <c r="AO142" s="37"/>
      <c r="AP142" s="37"/>
      <c r="AQ142" s="28"/>
    </row>
    <row r="143" spans="1:43" ht="12.75">
      <c r="A143" s="60" t="s">
        <v>377</v>
      </c>
      <c r="B143" s="4"/>
      <c r="C143" s="60" t="s">
        <v>357</v>
      </c>
      <c r="D143" s="60" t="s">
        <v>358</v>
      </c>
      <c r="E143" s="60" t="s">
        <v>236</v>
      </c>
      <c r="F143" s="18">
        <v>6.5</v>
      </c>
      <c r="G143" s="18"/>
      <c r="H143" s="18"/>
      <c r="I143" s="18"/>
      <c r="J143" s="62"/>
      <c r="K143" s="18"/>
      <c r="L143" s="18"/>
      <c r="M143" s="63"/>
      <c r="N143" s="31"/>
      <c r="O143" s="18"/>
      <c r="Z143" s="18"/>
      <c r="AA143" s="18"/>
      <c r="AB143" s="18"/>
      <c r="AD143" s="36"/>
      <c r="AE143" s="36"/>
      <c r="AF143" s="36"/>
      <c r="AM143" s="36"/>
      <c r="AN143" s="36"/>
      <c r="AO143" s="37"/>
      <c r="AP143" s="37"/>
      <c r="AQ143" s="28"/>
    </row>
    <row r="144" spans="1:43" ht="12.75">
      <c r="A144" s="60"/>
      <c r="B144" s="4"/>
      <c r="C144" s="61" t="s">
        <v>19</v>
      </c>
      <c r="D144" s="61" t="s">
        <v>125</v>
      </c>
      <c r="E144" s="60"/>
      <c r="F144" s="18"/>
      <c r="G144" s="18"/>
      <c r="H144" s="18"/>
      <c r="I144" s="18"/>
      <c r="J144" s="62"/>
      <c r="K144" s="18"/>
      <c r="L144" s="18"/>
      <c r="M144" s="31"/>
      <c r="N144" s="31"/>
      <c r="O144" s="18"/>
      <c r="Z144" s="18"/>
      <c r="AA144" s="18"/>
      <c r="AB144" s="18"/>
      <c r="AD144" s="36"/>
      <c r="AE144" s="36"/>
      <c r="AF144" s="36"/>
      <c r="AM144" s="36"/>
      <c r="AN144" s="36"/>
      <c r="AO144" s="37"/>
      <c r="AP144" s="37"/>
      <c r="AQ144" s="28"/>
    </row>
    <row r="145" spans="1:43" ht="12.75">
      <c r="A145" s="60" t="s">
        <v>81</v>
      </c>
      <c r="B145" s="4"/>
      <c r="C145" s="60" t="s">
        <v>359</v>
      </c>
      <c r="D145" s="60" t="s">
        <v>360</v>
      </c>
      <c r="E145" s="60" t="s">
        <v>233</v>
      </c>
      <c r="F145" s="18">
        <v>5.9304</v>
      </c>
      <c r="G145" s="18"/>
      <c r="H145" s="18"/>
      <c r="I145" s="18"/>
      <c r="J145" s="62"/>
      <c r="K145" s="18"/>
      <c r="L145" s="18"/>
      <c r="M145" s="31"/>
      <c r="N145" s="31"/>
      <c r="O145" s="18"/>
      <c r="Z145" s="18"/>
      <c r="AA145" s="18"/>
      <c r="AB145" s="18"/>
      <c r="AD145" s="36"/>
      <c r="AE145" s="36"/>
      <c r="AF145" s="36"/>
      <c r="AM145" s="36"/>
      <c r="AN145" s="36"/>
      <c r="AO145" s="37"/>
      <c r="AP145" s="37"/>
      <c r="AQ145" s="28"/>
    </row>
    <row r="146" spans="1:43" ht="12.75">
      <c r="A146" s="60"/>
      <c r="B146" s="4"/>
      <c r="C146" s="60"/>
      <c r="D146" s="60" t="s">
        <v>361</v>
      </c>
      <c r="E146" s="60"/>
      <c r="F146" s="18">
        <v>5.93</v>
      </c>
      <c r="G146" s="18"/>
      <c r="H146" s="18"/>
      <c r="I146" s="18"/>
      <c r="J146" s="62"/>
      <c r="K146" s="18"/>
      <c r="L146" s="18"/>
      <c r="M146" s="31"/>
      <c r="N146" s="31"/>
      <c r="O146" s="18"/>
      <c r="Z146" s="18"/>
      <c r="AA146" s="18"/>
      <c r="AB146" s="18"/>
      <c r="AD146" s="36"/>
      <c r="AE146" s="36"/>
      <c r="AF146" s="36"/>
      <c r="AM146" s="36"/>
      <c r="AN146" s="36"/>
      <c r="AO146" s="37"/>
      <c r="AP146" s="37"/>
      <c r="AQ146" s="28"/>
    </row>
    <row r="147" spans="1:43" ht="12.75">
      <c r="A147" s="60"/>
      <c r="B147" s="4"/>
      <c r="C147" s="64" t="s">
        <v>58</v>
      </c>
      <c r="D147" s="60" t="s">
        <v>362</v>
      </c>
      <c r="E147" s="60"/>
      <c r="F147" s="18"/>
      <c r="G147" s="18"/>
      <c r="H147" s="18"/>
      <c r="I147" s="18"/>
      <c r="J147" s="62"/>
      <c r="K147" s="18"/>
      <c r="L147" s="18"/>
      <c r="M147" s="31"/>
      <c r="N147" s="31"/>
      <c r="O147" s="18"/>
      <c r="Z147" s="18"/>
      <c r="AA147" s="18"/>
      <c r="AB147" s="18"/>
      <c r="AD147" s="36"/>
      <c r="AE147" s="36"/>
      <c r="AF147" s="36"/>
      <c r="AM147" s="36"/>
      <c r="AN147" s="36"/>
      <c r="AO147" s="37"/>
      <c r="AP147" s="37"/>
      <c r="AQ147" s="28"/>
    </row>
    <row r="148" spans="1:43" ht="12.75">
      <c r="A148" s="60" t="s">
        <v>385</v>
      </c>
      <c r="B148" s="4"/>
      <c r="C148" s="4" t="s">
        <v>63</v>
      </c>
      <c r="D148" s="4" t="s">
        <v>129</v>
      </c>
      <c r="E148" s="4" t="s">
        <v>233</v>
      </c>
      <c r="F148" s="18">
        <v>3.97</v>
      </c>
      <c r="G148" s="18" t="s">
        <v>6</v>
      </c>
      <c r="H148" s="18" t="s">
        <v>6</v>
      </c>
      <c r="I148" s="18" t="s">
        <v>6</v>
      </c>
      <c r="J148" s="18" t="s">
        <v>6</v>
      </c>
      <c r="K148" s="18">
        <v>0</v>
      </c>
      <c r="L148" s="18">
        <f>F148*K148</f>
        <v>0</v>
      </c>
      <c r="M148" s="31" t="s">
        <v>256</v>
      </c>
      <c r="N148" s="31" t="s">
        <v>7</v>
      </c>
      <c r="O148" s="18">
        <f>IF(N148="5",I148,0)</f>
        <v>0</v>
      </c>
      <c r="Z148" s="18">
        <f>IF(AD148=0,J148,0)</f>
        <v>0</v>
      </c>
      <c r="AA148" s="18">
        <f>IF(AD148=15,J148,0)</f>
        <v>0</v>
      </c>
      <c r="AB148" s="18" t="str">
        <f>IF(AD148=21,J148,0)</f>
        <v> </v>
      </c>
      <c r="AD148" s="36">
        <v>21</v>
      </c>
      <c r="AE148" s="36" t="e">
        <f>G148*0</f>
        <v>#VALUE!</v>
      </c>
      <c r="AF148" s="36" t="e">
        <f>G148*(1-0)</f>
        <v>#VALUE!</v>
      </c>
      <c r="AM148" s="36" t="e">
        <f>F148*AE148</f>
        <v>#VALUE!</v>
      </c>
      <c r="AN148" s="36" t="e">
        <f>F148*AF148</f>
        <v>#VALUE!</v>
      </c>
      <c r="AO148" s="37" t="s">
        <v>273</v>
      </c>
      <c r="AP148" s="37" t="s">
        <v>290</v>
      </c>
      <c r="AQ148" s="28" t="s">
        <v>299</v>
      </c>
    </row>
    <row r="149" spans="1:43" ht="12.75">
      <c r="A149" s="4"/>
      <c r="B149" s="4"/>
      <c r="C149" s="4"/>
      <c r="D149" s="60" t="s">
        <v>363</v>
      </c>
      <c r="E149" s="4"/>
      <c r="F149" s="18">
        <v>3.97</v>
      </c>
      <c r="G149" s="18"/>
      <c r="H149" s="18"/>
      <c r="I149" s="18"/>
      <c r="J149" s="18"/>
      <c r="K149" s="18"/>
      <c r="L149" s="18"/>
      <c r="M149" s="31"/>
      <c r="N149" s="31"/>
      <c r="O149" s="18"/>
      <c r="Z149" s="18"/>
      <c r="AA149" s="18"/>
      <c r="AB149" s="18"/>
      <c r="AD149" s="36"/>
      <c r="AE149" s="36"/>
      <c r="AF149" s="36"/>
      <c r="AM149" s="36"/>
      <c r="AN149" s="36"/>
      <c r="AO149" s="37"/>
      <c r="AP149" s="37"/>
      <c r="AQ149" s="28"/>
    </row>
    <row r="150" spans="1:43" ht="12.75">
      <c r="A150" s="60" t="s">
        <v>391</v>
      </c>
      <c r="B150" s="4"/>
      <c r="C150" s="4" t="s">
        <v>64</v>
      </c>
      <c r="D150" s="4" t="s">
        <v>131</v>
      </c>
      <c r="E150" s="4" t="s">
        <v>233</v>
      </c>
      <c r="F150" s="18">
        <v>3.97</v>
      </c>
      <c r="G150" s="18" t="s">
        <v>6</v>
      </c>
      <c r="H150" s="18" t="s">
        <v>6</v>
      </c>
      <c r="I150" s="18" t="s">
        <v>6</v>
      </c>
      <c r="J150" s="18" t="s">
        <v>6</v>
      </c>
      <c r="K150" s="18">
        <v>0</v>
      </c>
      <c r="L150" s="18">
        <f>F150*K150</f>
        <v>0</v>
      </c>
      <c r="M150" s="31" t="s">
        <v>256</v>
      </c>
      <c r="N150" s="31" t="s">
        <v>7</v>
      </c>
      <c r="O150" s="18">
        <f>IF(N150="5",I150,0)</f>
        <v>0</v>
      </c>
      <c r="Z150" s="18">
        <f>IF(AD150=0,J150,0)</f>
        <v>0</v>
      </c>
      <c r="AA150" s="18">
        <f>IF(AD150=15,J150,0)</f>
        <v>0</v>
      </c>
      <c r="AB150" s="18" t="str">
        <f>IF(AD150=21,J150,0)</f>
        <v> </v>
      </c>
      <c r="AD150" s="36">
        <v>21</v>
      </c>
      <c r="AE150" s="36" t="e">
        <f>G150*0</f>
        <v>#VALUE!</v>
      </c>
      <c r="AF150" s="36" t="e">
        <f>G150*(1-0)</f>
        <v>#VALUE!</v>
      </c>
      <c r="AM150" s="36" t="e">
        <f>F150*AE150</f>
        <v>#VALUE!</v>
      </c>
      <c r="AN150" s="36" t="e">
        <f>F150*AF150</f>
        <v>#VALUE!</v>
      </c>
      <c r="AO150" s="37" t="s">
        <v>273</v>
      </c>
      <c r="AP150" s="37" t="s">
        <v>290</v>
      </c>
      <c r="AQ150" s="28" t="s">
        <v>299</v>
      </c>
    </row>
    <row r="151" spans="1:43" ht="12.75">
      <c r="A151" s="60" t="s">
        <v>91</v>
      </c>
      <c r="B151" s="4"/>
      <c r="C151" s="4" t="s">
        <v>364</v>
      </c>
      <c r="D151" s="4" t="s">
        <v>365</v>
      </c>
      <c r="E151" s="4" t="s">
        <v>235</v>
      </c>
      <c r="F151" s="18">
        <v>488</v>
      </c>
      <c r="G151" s="18"/>
      <c r="H151" s="18"/>
      <c r="I151" s="18"/>
      <c r="J151" s="18"/>
      <c r="K151" s="18">
        <v>0</v>
      </c>
      <c r="L151" s="18">
        <v>0</v>
      </c>
      <c r="M151" s="63" t="s">
        <v>348</v>
      </c>
      <c r="N151" s="31"/>
      <c r="O151" s="18"/>
      <c r="Z151" s="18"/>
      <c r="AA151" s="18"/>
      <c r="AB151" s="18"/>
      <c r="AD151" s="36"/>
      <c r="AE151" s="36"/>
      <c r="AF151" s="36"/>
      <c r="AM151" s="36"/>
      <c r="AN151" s="36"/>
      <c r="AO151" s="37"/>
      <c r="AP151" s="37"/>
      <c r="AQ151" s="28"/>
    </row>
    <row r="152" spans="1:43" ht="12.75">
      <c r="A152" s="4"/>
      <c r="B152" s="4"/>
      <c r="C152" s="61" t="s">
        <v>17</v>
      </c>
      <c r="D152" s="61" t="s">
        <v>366</v>
      </c>
      <c r="E152" s="4"/>
      <c r="F152" s="18"/>
      <c r="G152" s="18"/>
      <c r="H152" s="18"/>
      <c r="I152" s="18"/>
      <c r="J152" s="18"/>
      <c r="K152" s="18"/>
      <c r="L152" s="18"/>
      <c r="M152" s="63"/>
      <c r="N152" s="31"/>
      <c r="O152" s="18"/>
      <c r="Z152" s="18"/>
      <c r="AA152" s="18"/>
      <c r="AB152" s="18"/>
      <c r="AD152" s="36"/>
      <c r="AE152" s="36"/>
      <c r="AF152" s="36"/>
      <c r="AM152" s="36"/>
      <c r="AN152" s="36"/>
      <c r="AO152" s="37"/>
      <c r="AP152" s="37"/>
      <c r="AQ152" s="28"/>
    </row>
    <row r="153" spans="1:43" ht="12.75">
      <c r="A153" s="60" t="s">
        <v>398</v>
      </c>
      <c r="B153" s="4"/>
      <c r="C153" s="60" t="s">
        <v>368</v>
      </c>
      <c r="D153" s="60" t="s">
        <v>369</v>
      </c>
      <c r="E153" s="60" t="s">
        <v>235</v>
      </c>
      <c r="F153" s="18">
        <v>19</v>
      </c>
      <c r="G153" s="18"/>
      <c r="H153" s="18"/>
      <c r="I153" s="18"/>
      <c r="J153" s="18"/>
      <c r="K153" s="18">
        <v>0</v>
      </c>
      <c r="L153" s="18">
        <v>0</v>
      </c>
      <c r="M153" s="63" t="s">
        <v>348</v>
      </c>
      <c r="N153" s="31"/>
      <c r="O153" s="18"/>
      <c r="Z153" s="18"/>
      <c r="AA153" s="18"/>
      <c r="AB153" s="18"/>
      <c r="AD153" s="36"/>
      <c r="AE153" s="36"/>
      <c r="AF153" s="36"/>
      <c r="AM153" s="36"/>
      <c r="AN153" s="36"/>
      <c r="AO153" s="37"/>
      <c r="AP153" s="37"/>
      <c r="AQ153" s="28"/>
    </row>
    <row r="154" spans="1:43" ht="12.75">
      <c r="A154" s="60" t="s">
        <v>399</v>
      </c>
      <c r="B154" s="4"/>
      <c r="C154" s="60" t="s">
        <v>371</v>
      </c>
      <c r="D154" s="60" t="s">
        <v>372</v>
      </c>
      <c r="E154" s="60" t="s">
        <v>237</v>
      </c>
      <c r="F154" s="18">
        <v>9</v>
      </c>
      <c r="G154" s="18"/>
      <c r="H154" s="18"/>
      <c r="I154" s="18"/>
      <c r="J154" s="18"/>
      <c r="K154" s="18">
        <v>0</v>
      </c>
      <c r="L154" s="18">
        <v>0</v>
      </c>
      <c r="M154" s="63" t="s">
        <v>348</v>
      </c>
      <c r="N154" s="31"/>
      <c r="O154" s="18"/>
      <c r="Z154" s="18"/>
      <c r="AA154" s="18"/>
      <c r="AB154" s="18"/>
      <c r="AD154" s="36"/>
      <c r="AE154" s="36"/>
      <c r="AF154" s="36"/>
      <c r="AM154" s="36"/>
      <c r="AN154" s="36"/>
      <c r="AO154" s="37"/>
      <c r="AP154" s="37"/>
      <c r="AQ154" s="28"/>
    </row>
    <row r="155" spans="1:43" ht="12.75">
      <c r="A155" s="4"/>
      <c r="B155" s="4"/>
      <c r="C155" s="64" t="s">
        <v>58</v>
      </c>
      <c r="D155" s="64" t="s">
        <v>373</v>
      </c>
      <c r="E155" s="60"/>
      <c r="F155" s="18"/>
      <c r="G155" s="18"/>
      <c r="H155" s="18"/>
      <c r="I155" s="18"/>
      <c r="J155" s="18"/>
      <c r="K155" s="18"/>
      <c r="L155" s="18"/>
      <c r="M155" s="63"/>
      <c r="N155" s="31"/>
      <c r="O155" s="18"/>
      <c r="Z155" s="18"/>
      <c r="AA155" s="18"/>
      <c r="AB155" s="18"/>
      <c r="AD155" s="36"/>
      <c r="AE155" s="36"/>
      <c r="AF155" s="36"/>
      <c r="AM155" s="36"/>
      <c r="AN155" s="36"/>
      <c r="AO155" s="37"/>
      <c r="AP155" s="37"/>
      <c r="AQ155" s="28"/>
    </row>
    <row r="156" spans="1:43" ht="12.75">
      <c r="A156" s="60" t="s">
        <v>400</v>
      </c>
      <c r="B156" s="4"/>
      <c r="C156" s="60" t="s">
        <v>375</v>
      </c>
      <c r="D156" s="60" t="s">
        <v>376</v>
      </c>
      <c r="E156" s="60" t="s">
        <v>237</v>
      </c>
      <c r="F156" s="18">
        <v>9</v>
      </c>
      <c r="G156" s="18"/>
      <c r="H156" s="18"/>
      <c r="I156" s="18"/>
      <c r="J156" s="18"/>
      <c r="K156" s="18">
        <v>0</v>
      </c>
      <c r="L156" s="18">
        <v>0</v>
      </c>
      <c r="M156" s="63" t="s">
        <v>348</v>
      </c>
      <c r="N156" s="31"/>
      <c r="O156" s="18"/>
      <c r="Z156" s="18"/>
      <c r="AA156" s="18"/>
      <c r="AB156" s="18"/>
      <c r="AD156" s="36"/>
      <c r="AE156" s="36"/>
      <c r="AF156" s="36"/>
      <c r="AM156" s="36"/>
      <c r="AN156" s="36"/>
      <c r="AO156" s="37"/>
      <c r="AP156" s="37"/>
      <c r="AQ156" s="28"/>
    </row>
    <row r="157" spans="1:43" ht="12.75">
      <c r="A157" s="60"/>
      <c r="B157" s="4"/>
      <c r="C157" s="61" t="s">
        <v>23</v>
      </c>
      <c r="D157" s="61" t="s">
        <v>133</v>
      </c>
      <c r="E157" s="60"/>
      <c r="F157" s="18"/>
      <c r="G157" s="18"/>
      <c r="H157" s="18"/>
      <c r="I157" s="18"/>
      <c r="J157" s="18"/>
      <c r="K157" s="18"/>
      <c r="L157" s="18"/>
      <c r="M157" s="63"/>
      <c r="N157" s="31"/>
      <c r="O157" s="18"/>
      <c r="Z157" s="18"/>
      <c r="AA157" s="18"/>
      <c r="AB157" s="18"/>
      <c r="AD157" s="36"/>
      <c r="AE157" s="36"/>
      <c r="AF157" s="36"/>
      <c r="AM157" s="36"/>
      <c r="AN157" s="36"/>
      <c r="AO157" s="37"/>
      <c r="AP157" s="37"/>
      <c r="AQ157" s="28"/>
    </row>
    <row r="158" spans="1:43" ht="12.75">
      <c r="A158" s="60" t="s">
        <v>96</v>
      </c>
      <c r="B158" s="4"/>
      <c r="C158" s="60" t="s">
        <v>378</v>
      </c>
      <c r="D158" s="60" t="s">
        <v>379</v>
      </c>
      <c r="E158" s="60" t="s">
        <v>233</v>
      </c>
      <c r="F158" s="18">
        <v>4.8924</v>
      </c>
      <c r="G158" s="18"/>
      <c r="H158" s="18"/>
      <c r="I158" s="18"/>
      <c r="J158" s="18"/>
      <c r="K158" s="18"/>
      <c r="L158" s="18"/>
      <c r="M158" s="63"/>
      <c r="N158" s="31"/>
      <c r="O158" s="18"/>
      <c r="Z158" s="18"/>
      <c r="AA158" s="18"/>
      <c r="AB158" s="18"/>
      <c r="AD158" s="36"/>
      <c r="AE158" s="36"/>
      <c r="AF158" s="36"/>
      <c r="AM158" s="36"/>
      <c r="AN158" s="36"/>
      <c r="AO158" s="37"/>
      <c r="AP158" s="37"/>
      <c r="AQ158" s="28"/>
    </row>
    <row r="159" spans="1:43" ht="12.75">
      <c r="A159" s="60"/>
      <c r="B159" s="4"/>
      <c r="C159" s="60"/>
      <c r="D159" s="60" t="s">
        <v>380</v>
      </c>
      <c r="E159" s="60"/>
      <c r="F159" s="18">
        <v>4.89</v>
      </c>
      <c r="G159" s="18"/>
      <c r="H159" s="18"/>
      <c r="I159" s="18"/>
      <c r="J159" s="18"/>
      <c r="K159" s="18"/>
      <c r="L159" s="18"/>
      <c r="M159" s="63"/>
      <c r="N159" s="31"/>
      <c r="O159" s="18"/>
      <c r="Z159" s="18"/>
      <c r="AA159" s="18"/>
      <c r="AB159" s="18"/>
      <c r="AD159" s="36"/>
      <c r="AE159" s="36"/>
      <c r="AF159" s="36"/>
      <c r="AM159" s="36"/>
      <c r="AN159" s="36"/>
      <c r="AO159" s="37"/>
      <c r="AP159" s="37"/>
      <c r="AQ159" s="28"/>
    </row>
    <row r="160" spans="1:43" ht="12.75">
      <c r="A160" s="60"/>
      <c r="B160" s="4"/>
      <c r="C160" s="64" t="s">
        <v>58</v>
      </c>
      <c r="D160" s="60" t="s">
        <v>381</v>
      </c>
      <c r="E160" s="60"/>
      <c r="F160" s="18"/>
      <c r="G160" s="18"/>
      <c r="H160" s="18"/>
      <c r="I160" s="18"/>
      <c r="J160" s="18"/>
      <c r="K160" s="18"/>
      <c r="L160" s="18"/>
      <c r="M160" s="63"/>
      <c r="N160" s="31"/>
      <c r="O160" s="18"/>
      <c r="Z160" s="18"/>
      <c r="AA160" s="18"/>
      <c r="AB160" s="18"/>
      <c r="AD160" s="36"/>
      <c r="AE160" s="36"/>
      <c r="AF160" s="36"/>
      <c r="AM160" s="36"/>
      <c r="AN160" s="36"/>
      <c r="AO160" s="37"/>
      <c r="AP160" s="37"/>
      <c r="AQ160" s="28"/>
    </row>
    <row r="161" spans="1:43" ht="12.75">
      <c r="A161" s="60" t="s">
        <v>401</v>
      </c>
      <c r="B161" s="4"/>
      <c r="C161" s="60" t="s">
        <v>382</v>
      </c>
      <c r="D161" s="60" t="s">
        <v>383</v>
      </c>
      <c r="E161" s="60" t="s">
        <v>233</v>
      </c>
      <c r="F161" s="18">
        <v>1.962</v>
      </c>
      <c r="G161" s="18"/>
      <c r="H161" s="18"/>
      <c r="I161" s="18"/>
      <c r="J161" s="18"/>
      <c r="K161" s="18"/>
      <c r="L161" s="18"/>
      <c r="M161" s="63"/>
      <c r="N161" s="31"/>
      <c r="O161" s="18"/>
      <c r="Z161" s="18"/>
      <c r="AA161" s="18"/>
      <c r="AB161" s="18"/>
      <c r="AD161" s="36"/>
      <c r="AE161" s="36"/>
      <c r="AF161" s="36"/>
      <c r="AM161" s="36"/>
      <c r="AN161" s="36"/>
      <c r="AO161" s="37"/>
      <c r="AP161" s="37"/>
      <c r="AQ161" s="28"/>
    </row>
    <row r="162" spans="1:43" ht="12.75">
      <c r="A162" s="60"/>
      <c r="B162" s="4"/>
      <c r="C162" s="60"/>
      <c r="D162" s="60" t="s">
        <v>384</v>
      </c>
      <c r="E162" s="60"/>
      <c r="F162" s="18">
        <v>1.96</v>
      </c>
      <c r="G162" s="18"/>
      <c r="H162" s="18"/>
      <c r="I162" s="18"/>
      <c r="J162" s="18"/>
      <c r="K162" s="18"/>
      <c r="L162" s="18"/>
      <c r="M162" s="63"/>
      <c r="N162" s="31"/>
      <c r="O162" s="18"/>
      <c r="Z162" s="18"/>
      <c r="AA162" s="18"/>
      <c r="AB162" s="18"/>
      <c r="AD162" s="36"/>
      <c r="AE162" s="36"/>
      <c r="AF162" s="36"/>
      <c r="AM162" s="36"/>
      <c r="AN162" s="36"/>
      <c r="AO162" s="37"/>
      <c r="AP162" s="37"/>
      <c r="AQ162" s="28"/>
    </row>
    <row r="163" spans="1:43" ht="12.75">
      <c r="A163" s="60"/>
      <c r="B163" s="4"/>
      <c r="C163" s="61" t="s">
        <v>51</v>
      </c>
      <c r="D163" s="61" t="s">
        <v>168</v>
      </c>
      <c r="E163" s="60"/>
      <c r="F163" s="18"/>
      <c r="G163" s="18"/>
      <c r="H163" s="18"/>
      <c r="I163" s="18"/>
      <c r="J163" s="18"/>
      <c r="K163" s="18"/>
      <c r="L163" s="18"/>
      <c r="M163" s="63"/>
      <c r="N163" s="31"/>
      <c r="O163" s="18"/>
      <c r="Z163" s="18"/>
      <c r="AA163" s="18"/>
      <c r="AB163" s="18"/>
      <c r="AD163" s="36"/>
      <c r="AE163" s="36"/>
      <c r="AF163" s="36"/>
      <c r="AM163" s="36"/>
      <c r="AN163" s="36"/>
      <c r="AO163" s="37"/>
      <c r="AP163" s="37"/>
      <c r="AQ163" s="28"/>
    </row>
    <row r="164" spans="1:43" ht="12.75">
      <c r="A164" s="60" t="s">
        <v>402</v>
      </c>
      <c r="B164" s="4"/>
      <c r="C164" s="60" t="s">
        <v>386</v>
      </c>
      <c r="D164" s="60" t="s">
        <v>387</v>
      </c>
      <c r="E164" s="60" t="s">
        <v>233</v>
      </c>
      <c r="F164" s="18">
        <v>1.428</v>
      </c>
      <c r="G164" s="18"/>
      <c r="H164" s="18"/>
      <c r="I164" s="18"/>
      <c r="J164" s="18"/>
      <c r="K164" s="18"/>
      <c r="L164" s="18"/>
      <c r="M164" s="63"/>
      <c r="N164" s="31"/>
      <c r="O164" s="18"/>
      <c r="Z164" s="18"/>
      <c r="AA164" s="18"/>
      <c r="AB164" s="18"/>
      <c r="AD164" s="36"/>
      <c r="AE164" s="36"/>
      <c r="AF164" s="36"/>
      <c r="AM164" s="36"/>
      <c r="AN164" s="36"/>
      <c r="AO164" s="37"/>
      <c r="AP164" s="37"/>
      <c r="AQ164" s="28"/>
    </row>
    <row r="165" spans="1:43" ht="12.75">
      <c r="A165" s="60"/>
      <c r="B165" s="4"/>
      <c r="C165" s="60"/>
      <c r="D165" s="60" t="s">
        <v>388</v>
      </c>
      <c r="E165" s="60"/>
      <c r="F165" s="18">
        <v>1.43</v>
      </c>
      <c r="G165" s="18"/>
      <c r="H165" s="18"/>
      <c r="I165" s="18"/>
      <c r="J165" s="18"/>
      <c r="K165" s="18"/>
      <c r="L165" s="18"/>
      <c r="M165" s="63"/>
      <c r="N165" s="31"/>
      <c r="O165" s="18"/>
      <c r="Z165" s="18"/>
      <c r="AA165" s="18"/>
      <c r="AB165" s="18"/>
      <c r="AD165" s="36"/>
      <c r="AE165" s="36"/>
      <c r="AF165" s="36"/>
      <c r="AM165" s="36"/>
      <c r="AN165" s="36"/>
      <c r="AO165" s="37"/>
      <c r="AP165" s="37"/>
      <c r="AQ165" s="28"/>
    </row>
    <row r="166" spans="1:43" ht="12.75">
      <c r="A166" s="60"/>
      <c r="B166" s="4"/>
      <c r="C166" s="61" t="s">
        <v>389</v>
      </c>
      <c r="D166" s="61" t="s">
        <v>390</v>
      </c>
      <c r="E166" s="60"/>
      <c r="F166" s="18"/>
      <c r="G166" s="18"/>
      <c r="H166" s="18"/>
      <c r="I166" s="18"/>
      <c r="J166" s="18"/>
      <c r="K166" s="18"/>
      <c r="L166" s="18"/>
      <c r="M166" s="63"/>
      <c r="N166" s="31"/>
      <c r="O166" s="18"/>
      <c r="Z166" s="18"/>
      <c r="AA166" s="18"/>
      <c r="AB166" s="18"/>
      <c r="AD166" s="36"/>
      <c r="AE166" s="36"/>
      <c r="AF166" s="36"/>
      <c r="AM166" s="36"/>
      <c r="AN166" s="36"/>
      <c r="AO166" s="37"/>
      <c r="AP166" s="37"/>
      <c r="AQ166" s="28"/>
    </row>
    <row r="167" spans="1:43" ht="12.75">
      <c r="A167" s="60" t="s">
        <v>403</v>
      </c>
      <c r="B167" s="4"/>
      <c r="C167" s="60" t="s">
        <v>392</v>
      </c>
      <c r="D167" s="60" t="s">
        <v>393</v>
      </c>
      <c r="E167" s="60" t="s">
        <v>236</v>
      </c>
      <c r="F167" s="18">
        <v>14.3</v>
      </c>
      <c r="G167" s="18"/>
      <c r="H167" s="18"/>
      <c r="I167" s="18"/>
      <c r="J167" s="18"/>
      <c r="K167" s="18"/>
      <c r="L167" s="18"/>
      <c r="M167" s="63"/>
      <c r="N167" s="31"/>
      <c r="O167" s="18"/>
      <c r="Z167" s="18"/>
      <c r="AA167" s="18"/>
      <c r="AB167" s="18"/>
      <c r="AD167" s="36"/>
      <c r="AE167" s="36"/>
      <c r="AF167" s="36"/>
      <c r="AM167" s="36"/>
      <c r="AN167" s="36"/>
      <c r="AO167" s="37"/>
      <c r="AP167" s="37"/>
      <c r="AQ167" s="28"/>
    </row>
    <row r="168" spans="1:43" ht="12.75">
      <c r="A168" s="60"/>
      <c r="B168" s="4"/>
      <c r="C168" s="60"/>
      <c r="D168" s="60" t="s">
        <v>394</v>
      </c>
      <c r="E168" s="60"/>
      <c r="F168" s="18">
        <v>14.3</v>
      </c>
      <c r="G168" s="18"/>
      <c r="H168" s="18"/>
      <c r="I168" s="18"/>
      <c r="J168" s="18"/>
      <c r="K168" s="18"/>
      <c r="L168" s="18"/>
      <c r="M168" s="63"/>
      <c r="N168" s="31"/>
      <c r="O168" s="18"/>
      <c r="Z168" s="18"/>
      <c r="AA168" s="18"/>
      <c r="AB168" s="18"/>
      <c r="AD168" s="36"/>
      <c r="AE168" s="36"/>
      <c r="AF168" s="36"/>
      <c r="AM168" s="36"/>
      <c r="AN168" s="36"/>
      <c r="AO168" s="37"/>
      <c r="AP168" s="37"/>
      <c r="AQ168" s="28"/>
    </row>
    <row r="169" spans="1:43" ht="12.75">
      <c r="A169" s="60" t="s">
        <v>404</v>
      </c>
      <c r="B169" s="4"/>
      <c r="C169" s="60" t="s">
        <v>395</v>
      </c>
      <c r="D169" s="60" t="s">
        <v>396</v>
      </c>
      <c r="E169" s="60" t="s">
        <v>236</v>
      </c>
      <c r="F169" s="18">
        <v>23.8</v>
      </c>
      <c r="G169" s="18"/>
      <c r="H169" s="18"/>
      <c r="I169" s="18"/>
      <c r="J169" s="18"/>
      <c r="K169" s="18"/>
      <c r="L169" s="18"/>
      <c r="M169" s="63"/>
      <c r="N169" s="31"/>
      <c r="O169" s="18"/>
      <c r="Z169" s="18"/>
      <c r="AA169" s="18"/>
      <c r="AB169" s="18"/>
      <c r="AD169" s="36"/>
      <c r="AE169" s="36"/>
      <c r="AF169" s="36"/>
      <c r="AM169" s="36"/>
      <c r="AN169" s="36"/>
      <c r="AO169" s="37"/>
      <c r="AP169" s="37"/>
      <c r="AQ169" s="28"/>
    </row>
    <row r="170" spans="1:43" ht="12.75">
      <c r="A170" s="60"/>
      <c r="B170" s="4"/>
      <c r="C170" s="60"/>
      <c r="D170" s="60" t="s">
        <v>397</v>
      </c>
      <c r="E170" s="60"/>
      <c r="F170" s="18">
        <v>23.8</v>
      </c>
      <c r="G170" s="18"/>
      <c r="H170" s="18"/>
      <c r="I170" s="18"/>
      <c r="J170" s="18"/>
      <c r="K170" s="18"/>
      <c r="L170" s="18"/>
      <c r="M170" s="63"/>
      <c r="N170" s="31"/>
      <c r="O170" s="18"/>
      <c r="Z170" s="18"/>
      <c r="AA170" s="18"/>
      <c r="AB170" s="18"/>
      <c r="AD170" s="36"/>
      <c r="AE170" s="36"/>
      <c r="AF170" s="36"/>
      <c r="AM170" s="36"/>
      <c r="AN170" s="36"/>
      <c r="AO170" s="37"/>
      <c r="AP170" s="37"/>
      <c r="AQ170" s="28"/>
    </row>
    <row r="171" spans="1:28" ht="12.75">
      <c r="A171" s="8"/>
      <c r="B171" s="8"/>
      <c r="C171" s="8"/>
      <c r="D171" s="8"/>
      <c r="E171" s="8"/>
      <c r="F171" s="8"/>
      <c r="G171" s="8"/>
      <c r="H171" s="71" t="s">
        <v>245</v>
      </c>
      <c r="I171" s="72"/>
      <c r="J171" s="40">
        <f>J12+J18+J22+J31+J36+J41+J45+J59+J65+J68+J72+J96+J105+J108+J113+J120+J129+J132+J134</f>
        <v>0</v>
      </c>
      <c r="K171" s="8"/>
      <c r="L171" s="8"/>
      <c r="M171" s="8"/>
      <c r="Z171" s="41">
        <f>SUM(Z13:Z135)</f>
        <v>0</v>
      </c>
      <c r="AA171" s="41">
        <f>SUM(AA13:AA135)</f>
        <v>0</v>
      </c>
      <c r="AB171" s="41">
        <f>SUM(AB13:AB135)</f>
        <v>0</v>
      </c>
    </row>
    <row r="172" ht="11.25" customHeight="1">
      <c r="A172" s="9"/>
    </row>
    <row r="173" spans="1:13" ht="409.5" customHeight="1" hidden="1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</sheetData>
  <sheetProtection/>
  <mergeCells count="62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7:M17"/>
    <mergeCell ref="D18:G18"/>
    <mergeCell ref="D22:G22"/>
    <mergeCell ref="D28:M28"/>
    <mergeCell ref="D30:M30"/>
    <mergeCell ref="D31:G31"/>
    <mergeCell ref="D36:G36"/>
    <mergeCell ref="D39:M39"/>
    <mergeCell ref="D41:G41"/>
    <mergeCell ref="D44:M44"/>
    <mergeCell ref="D45:G45"/>
    <mergeCell ref="D53:M53"/>
    <mergeCell ref="D59:G59"/>
    <mergeCell ref="D65:G65"/>
    <mergeCell ref="D68:G68"/>
    <mergeCell ref="D71:M71"/>
    <mergeCell ref="D72:G72"/>
    <mergeCell ref="D79:M79"/>
    <mergeCell ref="D84:M84"/>
    <mergeCell ref="D87:M87"/>
    <mergeCell ref="D89:M89"/>
    <mergeCell ref="D91:M91"/>
    <mergeCell ref="D95:M95"/>
    <mergeCell ref="D96:G96"/>
    <mergeCell ref="D105:G105"/>
    <mergeCell ref="D108:G108"/>
    <mergeCell ref="D113:G113"/>
    <mergeCell ref="A173:M173"/>
    <mergeCell ref="D120:G120"/>
    <mergeCell ref="D123:M123"/>
    <mergeCell ref="D129:G129"/>
    <mergeCell ref="D132:G132"/>
    <mergeCell ref="D134:G134"/>
    <mergeCell ref="H171:I171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42"/>
      <c r="C1" s="119" t="s">
        <v>315</v>
      </c>
      <c r="D1" s="120"/>
      <c r="E1" s="120"/>
      <c r="F1" s="120"/>
      <c r="G1" s="120"/>
      <c r="H1" s="120"/>
      <c r="I1" s="120"/>
    </row>
    <row r="2" spans="1:10" ht="12.75">
      <c r="A2" s="88" t="s">
        <v>1</v>
      </c>
      <c r="B2" s="89"/>
      <c r="C2" s="90" t="s">
        <v>116</v>
      </c>
      <c r="D2" s="72"/>
      <c r="E2" s="93" t="s">
        <v>246</v>
      </c>
      <c r="F2" s="93"/>
      <c r="G2" s="89"/>
      <c r="H2" s="93" t="s">
        <v>340</v>
      </c>
      <c r="I2" s="121"/>
      <c r="J2" s="34"/>
    </row>
    <row r="3" spans="1:10" ht="12.75">
      <c r="A3" s="85"/>
      <c r="B3" s="66"/>
      <c r="C3" s="91"/>
      <c r="D3" s="91"/>
      <c r="E3" s="66"/>
      <c r="F3" s="66"/>
      <c r="G3" s="66"/>
      <c r="H3" s="66"/>
      <c r="I3" s="83"/>
      <c r="J3" s="34"/>
    </row>
    <row r="4" spans="1:10" ht="12.75">
      <c r="A4" s="78" t="s">
        <v>2</v>
      </c>
      <c r="B4" s="66"/>
      <c r="C4" s="65"/>
      <c r="D4" s="66"/>
      <c r="E4" s="65" t="s">
        <v>247</v>
      </c>
      <c r="F4" s="65"/>
      <c r="G4" s="66"/>
      <c r="H4" s="65" t="s">
        <v>340</v>
      </c>
      <c r="I4" s="118"/>
      <c r="J4" s="34"/>
    </row>
    <row r="5" spans="1:10" ht="12.75">
      <c r="A5" s="85"/>
      <c r="B5" s="66"/>
      <c r="C5" s="66"/>
      <c r="D5" s="66"/>
      <c r="E5" s="66"/>
      <c r="F5" s="66"/>
      <c r="G5" s="66"/>
      <c r="H5" s="66"/>
      <c r="I5" s="83"/>
      <c r="J5" s="34"/>
    </row>
    <row r="6" spans="1:10" ht="12.75">
      <c r="A6" s="78" t="s">
        <v>3</v>
      </c>
      <c r="B6" s="66"/>
      <c r="C6" s="65" t="s">
        <v>117</v>
      </c>
      <c r="D6" s="66"/>
      <c r="E6" s="65" t="s">
        <v>248</v>
      </c>
      <c r="F6" s="65"/>
      <c r="G6" s="66"/>
      <c r="H6" s="65" t="s">
        <v>340</v>
      </c>
      <c r="I6" s="118"/>
      <c r="J6" s="34"/>
    </row>
    <row r="7" spans="1:10" ht="12.75">
      <c r="A7" s="85"/>
      <c r="B7" s="66"/>
      <c r="C7" s="66"/>
      <c r="D7" s="66"/>
      <c r="E7" s="66"/>
      <c r="F7" s="66"/>
      <c r="G7" s="66"/>
      <c r="H7" s="66"/>
      <c r="I7" s="83"/>
      <c r="J7" s="34"/>
    </row>
    <row r="8" spans="1:10" ht="12.75">
      <c r="A8" s="78" t="s">
        <v>229</v>
      </c>
      <c r="B8" s="66"/>
      <c r="C8" s="81" t="s">
        <v>6</v>
      </c>
      <c r="D8" s="66"/>
      <c r="E8" s="65" t="s">
        <v>230</v>
      </c>
      <c r="F8" s="66"/>
      <c r="G8" s="66"/>
      <c r="H8" s="81" t="s">
        <v>341</v>
      </c>
      <c r="I8" s="118" t="s">
        <v>57</v>
      </c>
      <c r="J8" s="34"/>
    </row>
    <row r="9" spans="1:10" ht="12.75">
      <c r="A9" s="85"/>
      <c r="B9" s="66"/>
      <c r="C9" s="66"/>
      <c r="D9" s="66"/>
      <c r="E9" s="66"/>
      <c r="F9" s="66"/>
      <c r="G9" s="66"/>
      <c r="H9" s="66"/>
      <c r="I9" s="83"/>
      <c r="J9" s="34"/>
    </row>
    <row r="10" spans="1:10" ht="12.75">
      <c r="A10" s="78" t="s">
        <v>4</v>
      </c>
      <c r="B10" s="66"/>
      <c r="C10" s="65"/>
      <c r="D10" s="66"/>
      <c r="E10" s="65" t="s">
        <v>249</v>
      </c>
      <c r="F10" s="65" t="s">
        <v>251</v>
      </c>
      <c r="G10" s="66"/>
      <c r="H10" s="81" t="s">
        <v>342</v>
      </c>
      <c r="I10" s="116">
        <v>42450</v>
      </c>
      <c r="J10" s="34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4"/>
    </row>
    <row r="12" spans="1:9" ht="23.25" customHeight="1">
      <c r="A12" s="110" t="s">
        <v>300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43" t="s">
        <v>301</v>
      </c>
      <c r="B13" s="112" t="s">
        <v>313</v>
      </c>
      <c r="C13" s="113"/>
      <c r="D13" s="43" t="s">
        <v>316</v>
      </c>
      <c r="E13" s="112" t="s">
        <v>325</v>
      </c>
      <c r="F13" s="113"/>
      <c r="G13" s="43" t="s">
        <v>326</v>
      </c>
      <c r="H13" s="112" t="s">
        <v>343</v>
      </c>
      <c r="I13" s="113"/>
      <c r="J13" s="34"/>
    </row>
    <row r="14" spans="1:10" ht="15" customHeight="1">
      <c r="A14" s="44" t="s">
        <v>302</v>
      </c>
      <c r="B14" s="48" t="s">
        <v>314</v>
      </c>
      <c r="C14" s="52">
        <f>SUM('Stavební rozpočet'!R12:R135)</f>
        <v>0</v>
      </c>
      <c r="D14" s="108" t="s">
        <v>317</v>
      </c>
      <c r="E14" s="109"/>
      <c r="F14" s="52">
        <v>0</v>
      </c>
      <c r="G14" s="108" t="s">
        <v>327</v>
      </c>
      <c r="H14" s="109"/>
      <c r="I14" s="52">
        <v>0</v>
      </c>
      <c r="J14" s="34"/>
    </row>
    <row r="15" spans="1:10" ht="15" customHeight="1">
      <c r="A15" s="45"/>
      <c r="B15" s="48" t="s">
        <v>250</v>
      </c>
      <c r="C15" s="52">
        <f>SUM('Stavební rozpočet'!S12:S135)</f>
        <v>0</v>
      </c>
      <c r="D15" s="108" t="s">
        <v>318</v>
      </c>
      <c r="E15" s="109"/>
      <c r="F15" s="52">
        <v>0</v>
      </c>
      <c r="G15" s="108" t="s">
        <v>328</v>
      </c>
      <c r="H15" s="109"/>
      <c r="I15" s="52">
        <v>0</v>
      </c>
      <c r="J15" s="34"/>
    </row>
    <row r="16" spans="1:10" ht="15" customHeight="1">
      <c r="A16" s="44" t="s">
        <v>303</v>
      </c>
      <c r="B16" s="48" t="s">
        <v>314</v>
      </c>
      <c r="C16" s="52">
        <f>SUM('Stavební rozpočet'!T12:T135)</f>
        <v>0</v>
      </c>
      <c r="D16" s="108" t="s">
        <v>319</v>
      </c>
      <c r="E16" s="109"/>
      <c r="F16" s="52">
        <v>0</v>
      </c>
      <c r="G16" s="108" t="s">
        <v>329</v>
      </c>
      <c r="H16" s="109"/>
      <c r="I16" s="52">
        <v>0</v>
      </c>
      <c r="J16" s="34"/>
    </row>
    <row r="17" spans="1:10" ht="15" customHeight="1">
      <c r="A17" s="45"/>
      <c r="B17" s="48" t="s">
        <v>250</v>
      </c>
      <c r="C17" s="52">
        <f>SUM('Stavební rozpočet'!U12:U135)</f>
        <v>0</v>
      </c>
      <c r="D17" s="108"/>
      <c r="E17" s="109"/>
      <c r="F17" s="53"/>
      <c r="G17" s="108" t="s">
        <v>330</v>
      </c>
      <c r="H17" s="109"/>
      <c r="I17" s="52">
        <v>0</v>
      </c>
      <c r="J17" s="34"/>
    </row>
    <row r="18" spans="1:10" ht="15" customHeight="1">
      <c r="A18" s="44" t="s">
        <v>304</v>
      </c>
      <c r="B18" s="48" t="s">
        <v>314</v>
      </c>
      <c r="C18" s="52">
        <f>SUM('Stavební rozpočet'!V12:V135)</f>
        <v>0</v>
      </c>
      <c r="D18" s="108"/>
      <c r="E18" s="109"/>
      <c r="F18" s="53"/>
      <c r="G18" s="108" t="s">
        <v>331</v>
      </c>
      <c r="H18" s="109"/>
      <c r="I18" s="52">
        <v>0</v>
      </c>
      <c r="J18" s="34"/>
    </row>
    <row r="19" spans="1:10" ht="15" customHeight="1">
      <c r="A19" s="45"/>
      <c r="B19" s="48" t="s">
        <v>250</v>
      </c>
      <c r="C19" s="52">
        <f>SUM('Stavební rozpočet'!W12:W135)</f>
        <v>0</v>
      </c>
      <c r="D19" s="108"/>
      <c r="E19" s="109"/>
      <c r="F19" s="53"/>
      <c r="G19" s="108" t="s">
        <v>332</v>
      </c>
      <c r="H19" s="109"/>
      <c r="I19" s="52">
        <v>0</v>
      </c>
      <c r="J19" s="34"/>
    </row>
    <row r="20" spans="1:10" ht="15" customHeight="1">
      <c r="A20" s="106" t="s">
        <v>305</v>
      </c>
      <c r="B20" s="107"/>
      <c r="C20" s="52">
        <f>SUM('Stavební rozpočet'!X12:X135)</f>
        <v>0</v>
      </c>
      <c r="D20" s="108"/>
      <c r="E20" s="109"/>
      <c r="F20" s="53"/>
      <c r="G20" s="108"/>
      <c r="H20" s="109"/>
      <c r="I20" s="53"/>
      <c r="J20" s="34"/>
    </row>
    <row r="21" spans="1:10" ht="15" customHeight="1">
      <c r="A21" s="106" t="s">
        <v>306</v>
      </c>
      <c r="B21" s="107"/>
      <c r="C21" s="52">
        <f>SUM('Stavební rozpočet'!P12:P135)</f>
        <v>0</v>
      </c>
      <c r="D21" s="108"/>
      <c r="E21" s="109"/>
      <c r="F21" s="53"/>
      <c r="G21" s="108"/>
      <c r="H21" s="109"/>
      <c r="I21" s="53"/>
      <c r="J21" s="34"/>
    </row>
    <row r="22" spans="1:10" ht="16.5" customHeight="1">
      <c r="A22" s="106" t="s">
        <v>307</v>
      </c>
      <c r="B22" s="107"/>
      <c r="C22" s="52">
        <f>SUM(C14:C21)</f>
        <v>0</v>
      </c>
      <c r="D22" s="106" t="s">
        <v>320</v>
      </c>
      <c r="E22" s="107"/>
      <c r="F22" s="52">
        <f>SUM(F14:F21)</f>
        <v>0</v>
      </c>
      <c r="G22" s="106" t="s">
        <v>333</v>
      </c>
      <c r="H22" s="107"/>
      <c r="I22" s="52">
        <f>SUM(I14:I21)</f>
        <v>0</v>
      </c>
      <c r="J22" s="34"/>
    </row>
    <row r="23" spans="1:10" ht="15" customHeight="1">
      <c r="A23" s="8"/>
      <c r="B23" s="8"/>
      <c r="C23" s="50"/>
      <c r="D23" s="106" t="s">
        <v>321</v>
      </c>
      <c r="E23" s="107"/>
      <c r="F23" s="54">
        <v>0</v>
      </c>
      <c r="G23" s="106" t="s">
        <v>334</v>
      </c>
      <c r="H23" s="107"/>
      <c r="I23" s="52">
        <v>0</v>
      </c>
      <c r="J23" s="34"/>
    </row>
    <row r="24" spans="4:9" ht="15" customHeight="1">
      <c r="D24" s="8"/>
      <c r="E24" s="8"/>
      <c r="F24" s="55"/>
      <c r="G24" s="106" t="s">
        <v>335</v>
      </c>
      <c r="H24" s="107"/>
      <c r="I24" s="57"/>
    </row>
    <row r="25" spans="6:10" ht="15" customHeight="1">
      <c r="F25" s="56"/>
      <c r="G25" s="106" t="s">
        <v>336</v>
      </c>
      <c r="H25" s="107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" customHeight="1">
      <c r="A27" s="101" t="s">
        <v>308</v>
      </c>
      <c r="B27" s="102"/>
      <c r="C27" s="58">
        <f>SUM('Stavební rozpočet'!Z12:Z135)</f>
        <v>0</v>
      </c>
      <c r="D27" s="51"/>
      <c r="E27" s="42"/>
      <c r="F27" s="42"/>
      <c r="G27" s="42"/>
      <c r="H27" s="42"/>
      <c r="I27" s="42"/>
    </row>
    <row r="28" spans="1:10" ht="15" customHeight="1">
      <c r="A28" s="101" t="s">
        <v>309</v>
      </c>
      <c r="B28" s="102"/>
      <c r="C28" s="58">
        <f>SUM('Stavební rozpočet'!AA12:AA135)</f>
        <v>0</v>
      </c>
      <c r="D28" s="101" t="s">
        <v>322</v>
      </c>
      <c r="E28" s="102"/>
      <c r="F28" s="58">
        <f>ROUND(C28*(15/100),2)</f>
        <v>0</v>
      </c>
      <c r="G28" s="101" t="s">
        <v>337</v>
      </c>
      <c r="H28" s="102"/>
      <c r="I28" s="58">
        <f>SUM(C27:C29)</f>
        <v>0</v>
      </c>
      <c r="J28" s="34"/>
    </row>
    <row r="29" spans="1:10" ht="15" customHeight="1">
      <c r="A29" s="101" t="s">
        <v>310</v>
      </c>
      <c r="B29" s="102"/>
      <c r="C29" s="58">
        <f>SUM('Stavební rozpočet'!AB12:AB135)+(F22+I22+F23+I23+I24+I25)</f>
        <v>0</v>
      </c>
      <c r="D29" s="101" t="s">
        <v>323</v>
      </c>
      <c r="E29" s="102"/>
      <c r="F29" s="58">
        <f>ROUND(C29*(21/100),2)</f>
        <v>0</v>
      </c>
      <c r="G29" s="101" t="s">
        <v>338</v>
      </c>
      <c r="H29" s="102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25" customHeight="1">
      <c r="A31" s="103" t="s">
        <v>311</v>
      </c>
      <c r="B31" s="104"/>
      <c r="C31" s="105"/>
      <c r="D31" s="103" t="s">
        <v>324</v>
      </c>
      <c r="E31" s="104"/>
      <c r="F31" s="105"/>
      <c r="G31" s="103" t="s">
        <v>339</v>
      </c>
      <c r="H31" s="104"/>
      <c r="I31" s="105"/>
      <c r="J31" s="35"/>
    </row>
    <row r="32" spans="1:10" ht="14.25" customHeight="1">
      <c r="A32" s="95"/>
      <c r="B32" s="96"/>
      <c r="C32" s="97"/>
      <c r="D32" s="95"/>
      <c r="E32" s="96"/>
      <c r="F32" s="97"/>
      <c r="G32" s="95"/>
      <c r="H32" s="96"/>
      <c r="I32" s="97"/>
      <c r="J32" s="35"/>
    </row>
    <row r="33" spans="1:10" ht="14.25" customHeight="1">
      <c r="A33" s="95"/>
      <c r="B33" s="96"/>
      <c r="C33" s="97"/>
      <c r="D33" s="95"/>
      <c r="E33" s="96"/>
      <c r="F33" s="97"/>
      <c r="G33" s="95"/>
      <c r="H33" s="96"/>
      <c r="I33" s="97"/>
      <c r="J33" s="35"/>
    </row>
    <row r="34" spans="1:10" ht="14.25" customHeight="1">
      <c r="A34" s="95"/>
      <c r="B34" s="96"/>
      <c r="C34" s="97"/>
      <c r="D34" s="95"/>
      <c r="E34" s="96"/>
      <c r="F34" s="97"/>
      <c r="G34" s="95"/>
      <c r="H34" s="96"/>
      <c r="I34" s="97"/>
      <c r="J34" s="35"/>
    </row>
    <row r="35" spans="1:10" ht="14.25" customHeight="1">
      <c r="A35" s="98" t="s">
        <v>312</v>
      </c>
      <c r="B35" s="99"/>
      <c r="C35" s="100"/>
      <c r="D35" s="98" t="s">
        <v>312</v>
      </c>
      <c r="E35" s="99"/>
      <c r="F35" s="100"/>
      <c r="G35" s="98" t="s">
        <v>312</v>
      </c>
      <c r="H35" s="99"/>
      <c r="I35" s="100"/>
      <c r="J35" s="35"/>
    </row>
    <row r="36" spans="1:9" ht="11.25" customHeight="1">
      <c r="A36" s="47" t="s">
        <v>58</v>
      </c>
      <c r="B36" s="49"/>
      <c r="C36" s="49"/>
      <c r="D36" s="49"/>
      <c r="E36" s="49"/>
      <c r="F36" s="49"/>
      <c r="G36" s="49"/>
      <c r="H36" s="49"/>
      <c r="I36" s="49"/>
    </row>
    <row r="37" spans="1:9" ht="409.5" customHeight="1" hidden="1">
      <c r="A37" s="65"/>
      <c r="B37" s="66"/>
      <c r="C37" s="66"/>
      <c r="D37" s="66"/>
      <c r="E37" s="66"/>
      <c r="F37" s="66"/>
      <c r="G37" s="66"/>
      <c r="H37" s="66"/>
      <c r="I37" s="66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Čermák</cp:lastModifiedBy>
  <dcterms:modified xsi:type="dcterms:W3CDTF">2017-03-29T19:14:46Z</dcterms:modified>
  <cp:category/>
  <cp:version/>
  <cp:contentType/>
  <cp:contentStatus/>
</cp:coreProperties>
</file>