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0" windowWidth="9660" windowHeight="5490" activeTab="0"/>
  </bookViews>
  <sheets>
    <sheet name="Stavební rozpočet" sheetId="1" r:id="rId1"/>
    <sheet name="Krycí list rozpočtu" sheetId="2" r:id="rId2"/>
  </sheets>
  <definedNames/>
  <calcPr calcId="125725"/>
</workbook>
</file>

<file path=xl/sharedStrings.xml><?xml version="1.0" encoding="utf-8"?>
<sst xmlns="http://schemas.openxmlformats.org/spreadsheetml/2006/main" count="297" uniqueCount="182">
  <si>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</si>
  <si>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</si>
  <si>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</si>
  <si>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</si>
  <si>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</si>
  <si>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</si>
  <si>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</si>
  <si>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</si>
  <si>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</si>
  <si>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</si>
  <si>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</si>
  <si>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</si>
  <si>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</si>
  <si>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</si>
  <si>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</si>
  <si>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</si>
  <si>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</si>
  <si>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</si>
  <si>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</si>
  <si>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</si>
  <si>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</si>
  <si>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</si>
  <si>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Poznámka:</t>
  </si>
  <si>
    <t>Objekt</t>
  </si>
  <si>
    <t>Kód</t>
  </si>
  <si>
    <t>113152111R00</t>
  </si>
  <si>
    <t>113106121R00</t>
  </si>
  <si>
    <t>113204111R00</t>
  </si>
  <si>
    <t>122202201R00</t>
  </si>
  <si>
    <t>16</t>
  </si>
  <si>
    <t>162701105R00</t>
  </si>
  <si>
    <t>162702199R00</t>
  </si>
  <si>
    <t>18</t>
  </si>
  <si>
    <t>181201102R00</t>
  </si>
  <si>
    <t>56</t>
  </si>
  <si>
    <t>564851111R00</t>
  </si>
  <si>
    <t>59</t>
  </si>
  <si>
    <t>596215020R00</t>
  </si>
  <si>
    <t>59245304</t>
  </si>
  <si>
    <t>59245267</t>
  </si>
  <si>
    <t>91</t>
  </si>
  <si>
    <t>916561111RT2</t>
  </si>
  <si>
    <t>998223011R00</t>
  </si>
  <si>
    <t>S</t>
  </si>
  <si>
    <t>979990103R00</t>
  </si>
  <si>
    <t>979083117R00</t>
  </si>
  <si>
    <t>Chodník Příkopy</t>
  </si>
  <si>
    <t>Stavební úpravy</t>
  </si>
  <si>
    <t>Kostelec nad Orlicí</t>
  </si>
  <si>
    <t>Zkrácený popis</t>
  </si>
  <si>
    <t>Rozměry</t>
  </si>
  <si>
    <t>Přípravné a přidružené práce</t>
  </si>
  <si>
    <t>Odstranění podkladu z kameniva těženého</t>
  </si>
  <si>
    <t>614,317*0,10</t>
  </si>
  <si>
    <t>Rozebrání dlažeb z betonových dlaždic na sucho</t>
  </si>
  <si>
    <t>138,34*1,58+90*1,60+30*1,62+30*1,65+18,77*1,61+4,09-1,08*1,68</t>
  </si>
  <si>
    <t>8,05*4,65+3,90*1,50+5,05*(1,72+1,33)/2+22,32+18,08*(1,83+1,89)/2</t>
  </si>
  <si>
    <t>6,46*2,20</t>
  </si>
  <si>
    <t>Vytrhání obrub záhonových</t>
  </si>
  <si>
    <t>307,11-1,86-1,82-1,85-4,65-2,20-2,46*3-1,50-2,46*2-6,40</t>
  </si>
  <si>
    <t>2,02*2+3,40+8,10+7,70+18,08+6,35+8,05*2+3,90*2+1,50</t>
  </si>
  <si>
    <t>6,46*3</t>
  </si>
  <si>
    <t>Odkopávky a prokopávky</t>
  </si>
  <si>
    <t>Odkopávky pro silnice v hor. 3 do 100 m3</t>
  </si>
  <si>
    <t>614,317*0,11</t>
  </si>
  <si>
    <t>Přemístění výkopku</t>
  </si>
  <si>
    <t>Vodorovné přemístění výkopku z hor.1-4 do 10000 m</t>
  </si>
  <si>
    <t>61,4317+67,5748</t>
  </si>
  <si>
    <t>Poplatek za skládku zeminy</t>
  </si>
  <si>
    <t>Povrchové úpravy terénu</t>
  </si>
  <si>
    <t>Úprava pláně v násypech v hor. 1-4, se zhutněním</t>
  </si>
  <si>
    <t>Podkladní vrstvy komunikací a zpevněných ploch</t>
  </si>
  <si>
    <t>Podklad ze štěrkodrti po zhutnění tloušťky 15 cm,nos.vrstva kam.2-5+4-8 mm(1:1)</t>
  </si>
  <si>
    <t>Dlažby a předlažby pozemních komunikací a zpevněných ploch</t>
  </si>
  <si>
    <t>Kladení zámkové dlažby tl. 6 cm do drtě tl. 3 cm</t>
  </si>
  <si>
    <t>Dlažba BEST BEATON přírodní  20x16,5x6</t>
  </si>
  <si>
    <t>614,317-2,624</t>
  </si>
  <si>
    <t>;ztratné 1%; 6,11693</t>
  </si>
  <si>
    <t>Dlažba BEST KLASIKO červená pro nevidomé 20x10x6</t>
  </si>
  <si>
    <t>4,20*0,40+0,80*1,18</t>
  </si>
  <si>
    <t>Doplňující konstrukce a práce na pozemních komunikacích a zpevněných plochách</t>
  </si>
  <si>
    <t>Osazení záhon.obrubníků do lože z C 12/15 s opěrou</t>
  </si>
  <si>
    <t>366,98-6,46</t>
  </si>
  <si>
    <t>cena včetně dodávky obrubníků</t>
  </si>
  <si>
    <t>Přesun hmot, pozemní komunikace, kryt dlážděný</t>
  </si>
  <si>
    <t>Přesuny sutí</t>
  </si>
  <si>
    <t>Poplatek za skládku suti - beton</t>
  </si>
  <si>
    <t>84,7758+14,6792</t>
  </si>
  <si>
    <t>Vodorovné přemístění suti na skládku do 6000 m</t>
  </si>
  <si>
    <t>Doba výstavby:</t>
  </si>
  <si>
    <t>Začátek výstavby:</t>
  </si>
  <si>
    <t>Konec výstavby:</t>
  </si>
  <si>
    <t>Zpracováno dne:</t>
  </si>
  <si>
    <t>M.j.</t>
  </si>
  <si>
    <t>m3</t>
  </si>
  <si>
    <t>m2</t>
  </si>
  <si>
    <t>m</t>
  </si>
  <si>
    <t>t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</si>
  <si>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</si>
  <si>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</si>
  <si>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</si>
  <si>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</si>
  <si>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</si>
  <si>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</si>
  <si>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</si>
  <si>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</si>
  <si>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</si>
  <si>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</si>
  <si>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</si>
  <si>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Ing. Josef Čermák</t>
  </si>
  <si>
    <t>Celkem</t>
  </si>
  <si>
    <t>Hmotnost (t)</t>
  </si>
  <si>
    <t>Cenová</t>
  </si>
  <si>
    <t>soustava</t>
  </si>
  <si>
    <t>RTS I / 2016</t>
  </si>
  <si>
    <t>0</t>
  </si>
  <si>
    <t>Přesuny</t>
  </si>
  <si>
    <t>Typ skupiny</t>
  </si>
  <si>
    <t>HS</t>
  </si>
  <si>
    <t>HSV mat</t>
  </si>
  <si>
    <t>HSV prac</t>
  </si>
  <si>
    <t>PSV mat</t>
  </si>
  <si>
    <t>PSV prac</t>
  </si>
  <si>
    <t>Mont mat</t>
  </si>
  <si>
    <t>Mont prac</t>
  </si>
  <si>
    <t>Ostatní mat.</t>
  </si>
  <si>
    <t>11_</t>
  </si>
  <si>
    <t>12_</t>
  </si>
  <si>
    <t>16_</t>
  </si>
  <si>
    <t>18_</t>
  </si>
  <si>
    <t>56_</t>
  </si>
  <si>
    <t>59_</t>
  </si>
  <si>
    <t>91_</t>
  </si>
  <si>
    <t>S_</t>
  </si>
  <si>
    <t>1_</t>
  </si>
  <si>
    <t>5_</t>
  </si>
  <si>
    <t>9_</t>
  </si>
  <si>
    <t>_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</si>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</sst>
</file>

<file path=xl/styles.xml><?xml version="1.0" encoding="utf-8"?>
<styleSheet xmlns="http://schemas.openxmlformats.org/spreadsheetml/2006/main">
  <fonts count="17">
    <font>
      <sz val="10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sz val="10"/>
      <color indexed="61"/>
      <name val="Arial"/>
      <family val="2"/>
    </font>
    <font>
      <sz val="10"/>
      <color indexed="62"/>
      <name val="Arial"/>
      <family val="2"/>
    </font>
    <font>
      <i/>
      <sz val="8"/>
      <color indexed="8"/>
      <name val="Arial"/>
      <family val="2"/>
    </font>
    <font>
      <b/>
      <sz val="10"/>
      <color indexed="56"/>
      <name val="Arial"/>
      <family val="2"/>
    </font>
    <font>
      <i/>
      <sz val="10"/>
      <color indexed="60"/>
      <name val="Arial"/>
      <family val="2"/>
    </font>
    <font>
      <i/>
      <sz val="10"/>
      <color indexed="63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24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7">
    <xf numFmtId="0" fontId="1" fillId="0" borderId="0" xfId="0" applyFont="1" applyAlignment="1">
      <alignment vertical="center"/>
    </xf>
    <xf numFmtId="49" fontId="3" fillId="0" borderId="1" xfId="0" applyNumberFormat="1" applyFont="1" applyFill="1" applyBorder="1" applyAlignment="1" applyProtection="1">
      <alignment horizontal="left" vertical="center"/>
      <protection/>
    </xf>
    <xf numFmtId="49" fontId="1" fillId="0" borderId="2" xfId="0" applyNumberFormat="1" applyFont="1" applyFill="1" applyBorder="1" applyAlignment="1" applyProtection="1">
      <alignment horizontal="left" vertical="center"/>
      <protection/>
    </xf>
    <xf numFmtId="49" fontId="4" fillId="2" borderId="3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2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4" xfId="0" applyNumberFormat="1" applyFont="1" applyFill="1" applyBorder="1" applyAlignment="1" applyProtection="1">
      <alignment horizontal="left" vertical="center"/>
      <protection/>
    </xf>
    <xf numFmtId="0" fontId="1" fillId="0" borderId="5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6" xfId="0" applyNumberFormat="1" applyFont="1" applyFill="1" applyBorder="1" applyAlignment="1" applyProtection="1">
      <alignment horizontal="left" vertical="center"/>
      <protection/>
    </xf>
    <xf numFmtId="49" fontId="1" fillId="0" borderId="7" xfId="0" applyNumberFormat="1" applyFont="1" applyFill="1" applyBorder="1" applyAlignment="1" applyProtection="1">
      <alignment horizontal="left" vertical="center"/>
      <protection/>
    </xf>
    <xf numFmtId="49" fontId="8" fillId="2" borderId="3" xfId="0" applyNumberFormat="1" applyFont="1" applyFill="1" applyBorder="1" applyAlignment="1" applyProtection="1">
      <alignment horizontal="left" vertical="center"/>
      <protection/>
    </xf>
    <xf numFmtId="49" fontId="8" fillId="2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right" vertical="top"/>
      <protection/>
    </xf>
    <xf numFmtId="49" fontId="3" fillId="0" borderId="7" xfId="0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6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10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4" xfId="0" applyNumberFormat="1" applyFont="1" applyFill="1" applyBorder="1" applyAlignment="1" applyProtection="1">
      <alignment horizontal="right" vertical="center"/>
      <protection/>
    </xf>
    <xf numFmtId="49" fontId="3" fillId="0" borderId="8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right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8" fillId="2" borderId="3" xfId="0" applyNumberFormat="1" applyFont="1" applyFill="1" applyBorder="1" applyAlignment="1" applyProtection="1">
      <alignment horizontal="right" vertical="center"/>
      <protection/>
    </xf>
    <xf numFmtId="49" fontId="8" fillId="2" borderId="0" xfId="0" applyNumberFormat="1" applyFont="1" applyFill="1" applyBorder="1" applyAlignment="1" applyProtection="1">
      <alignment horizontal="right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4" xfId="0" applyNumberFormat="1" applyFont="1" applyFill="1" applyBorder="1" applyAlignment="1" applyProtection="1">
      <alignment horizontal="right"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2" borderId="3" xfId="0" applyNumberFormat="1" applyFont="1" applyFill="1" applyBorder="1" applyAlignment="1" applyProtection="1">
      <alignment horizontal="right" vertical="center"/>
      <protection/>
    </xf>
    <xf numFmtId="4" fontId="8" fillId="2" borderId="0" xfId="0" applyNumberFormat="1" applyFont="1" applyFill="1" applyBorder="1" applyAlignment="1" applyProtection="1">
      <alignment horizontal="right" vertical="center"/>
      <protection/>
    </xf>
    <xf numFmtId="4" fontId="3" fillId="0" borderId="5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4" xfId="0" applyNumberFormat="1" applyFont="1" applyFill="1" applyBorder="1" applyAlignment="1" applyProtection="1">
      <alignment vertical="center"/>
      <protection/>
    </xf>
    <xf numFmtId="49" fontId="12" fillId="3" borderId="17" xfId="0" applyNumberFormat="1" applyFont="1" applyFill="1" applyBorder="1" applyAlignment="1" applyProtection="1">
      <alignment horizontal="center" vertical="center"/>
      <protection/>
    </xf>
    <xf numFmtId="49" fontId="13" fillId="0" borderId="18" xfId="0" applyNumberFormat="1" applyFont="1" applyFill="1" applyBorder="1" applyAlignment="1" applyProtection="1">
      <alignment horizontal="left" vertical="center"/>
      <protection/>
    </xf>
    <xf numFmtId="49" fontId="13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49" fontId="7" fillId="0" borderId="3" xfId="0" applyNumberFormat="1" applyFont="1" applyFill="1" applyBorder="1" applyAlignment="1" applyProtection="1">
      <alignment horizontal="left" vertical="center"/>
      <protection/>
    </xf>
    <xf numFmtId="49" fontId="14" fillId="0" borderId="17" xfId="0" applyNumberFormat="1" applyFont="1" applyFill="1" applyBorder="1" applyAlignment="1" applyProtection="1">
      <alignment horizontal="left" vertical="center"/>
      <protection/>
    </xf>
    <xf numFmtId="0" fontId="1" fillId="0" borderId="3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4" fontId="14" fillId="0" borderId="17" xfId="0" applyNumberFormat="1" applyFont="1" applyFill="1" applyBorder="1" applyAlignment="1" applyProtection="1">
      <alignment horizontal="right" vertical="center"/>
      <protection/>
    </xf>
    <xf numFmtId="49" fontId="14" fillId="0" borderId="17" xfId="0" applyNumberFormat="1" applyFont="1" applyFill="1" applyBorder="1" applyAlignment="1" applyProtection="1">
      <alignment horizontal="right" vertical="center"/>
      <protection/>
    </xf>
    <xf numFmtId="4" fontId="14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3" fillId="3" borderId="26" xfId="0" applyNumberFormat="1" applyFont="1" applyFill="1" applyBorder="1" applyAlignment="1" applyProtection="1">
      <alignment horizontal="right" vertical="center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2" fillId="0" borderId="4" xfId="0" applyNumberFormat="1" applyFont="1" applyFill="1" applyBorder="1" applyAlignment="1" applyProtection="1">
      <alignment horizontal="center"/>
      <protection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5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5" xfId="0" applyNumberFormat="1" applyFont="1" applyFill="1" applyBorder="1" applyAlignment="1" applyProtection="1">
      <alignment horizontal="left" vertical="center"/>
      <protection/>
    </xf>
    <xf numFmtId="0" fontId="1" fillId="0" borderId="5" xfId="0" applyNumberFormat="1" applyFont="1" applyFill="1" applyBorder="1" applyAlignment="1" applyProtection="1">
      <alignment horizontal="left" vertical="center" wrapText="1"/>
      <protection/>
    </xf>
    <xf numFmtId="0" fontId="1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0" xfId="0" applyNumberFormat="1" applyFont="1" applyFill="1" applyBorder="1" applyAlignment="1" applyProtection="1">
      <alignment horizontal="left" vertical="center"/>
      <protection/>
    </xf>
    <xf numFmtId="49" fontId="3" fillId="0" borderId="31" xfId="0" applyNumberFormat="1" applyFont="1" applyFill="1" applyBorder="1" applyAlignment="1" applyProtection="1">
      <alignment horizontal="center" vertical="center"/>
      <protection/>
    </xf>
    <xf numFmtId="0" fontId="3" fillId="0" borderId="32" xfId="0" applyNumberFormat="1" applyFont="1" applyFill="1" applyBorder="1" applyAlignment="1" applyProtection="1">
      <alignment horizontal="center" vertical="center"/>
      <protection/>
    </xf>
    <xf numFmtId="0" fontId="3" fillId="0" borderId="33" xfId="0" applyNumberFormat="1" applyFont="1" applyFill="1" applyBorder="1" applyAlignment="1" applyProtection="1">
      <alignment horizontal="center" vertical="center"/>
      <protection/>
    </xf>
    <xf numFmtId="49" fontId="8" fillId="2" borderId="3" xfId="0" applyNumberFormat="1" applyFont="1" applyFill="1" applyBorder="1" applyAlignment="1" applyProtection="1">
      <alignment horizontal="left" vertical="center"/>
      <protection/>
    </xf>
    <xf numFmtId="0" fontId="8" fillId="2" borderId="3" xfId="0" applyNumberFormat="1" applyFont="1" applyFill="1" applyBorder="1" applyAlignment="1" applyProtection="1">
      <alignment horizontal="left" vertical="center"/>
      <protection/>
    </xf>
    <xf numFmtId="49" fontId="8" fillId="2" borderId="0" xfId="0" applyNumberFormat="1" applyFont="1" applyFill="1" applyBorder="1" applyAlignment="1" applyProtection="1">
      <alignment horizontal="left" vertical="center"/>
      <protection/>
    </xf>
    <xf numFmtId="0" fontId="8" fillId="2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49" fontId="3" fillId="0" borderId="5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left" vertical="center"/>
      <protection/>
    </xf>
    <xf numFmtId="0" fontId="16" fillId="0" borderId="4" xfId="0" applyNumberFormat="1" applyFont="1" applyFill="1" applyBorder="1" applyAlignment="1" applyProtection="1">
      <alignment horizontal="center" vertical="center" wrapText="1"/>
      <protection/>
    </xf>
    <xf numFmtId="0" fontId="16" fillId="0" borderId="4" xfId="0" applyNumberFormat="1" applyFont="1" applyFill="1" applyBorder="1" applyAlignment="1" applyProtection="1">
      <alignment horizontal="center" vertical="center"/>
      <protection/>
    </xf>
    <xf numFmtId="49" fontId="1" fillId="0" borderId="21" xfId="0" applyNumberFormat="1" applyFont="1" applyFill="1" applyBorder="1" applyAlignment="1" applyProtection="1">
      <alignment horizontal="left" vertical="center"/>
      <protection/>
    </xf>
    <xf numFmtId="49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/>
      <protection/>
    </xf>
    <xf numFmtId="14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horizontal="left" vertical="center"/>
      <protection/>
    </xf>
    <xf numFmtId="49" fontId="11" fillId="0" borderId="35" xfId="0" applyNumberFormat="1" applyFont="1" applyFill="1" applyBorder="1" applyAlignment="1" applyProtection="1">
      <alignment horizontal="center" vertical="center"/>
      <protection/>
    </xf>
    <xf numFmtId="0" fontId="11" fillId="0" borderId="35" xfId="0" applyNumberFormat="1" applyFont="1" applyFill="1" applyBorder="1" applyAlignment="1" applyProtection="1">
      <alignment horizontal="center" vertical="center"/>
      <protection/>
    </xf>
    <xf numFmtId="49" fontId="15" fillId="0" borderId="25" xfId="0" applyNumberFormat="1" applyFont="1" applyFill="1" applyBorder="1" applyAlignment="1" applyProtection="1">
      <alignment horizontal="left" vertical="center"/>
      <protection/>
    </xf>
    <xf numFmtId="0" fontId="15" fillId="0" borderId="26" xfId="0" applyNumberFormat="1" applyFont="1" applyFill="1" applyBorder="1" applyAlignment="1" applyProtection="1">
      <alignment horizontal="left" vertical="center"/>
      <protection/>
    </xf>
    <xf numFmtId="49" fontId="14" fillId="0" borderId="25" xfId="0" applyNumberFormat="1" applyFont="1" applyFill="1" applyBorder="1" applyAlignment="1" applyProtection="1">
      <alignment horizontal="left" vertical="center"/>
      <protection/>
    </xf>
    <xf numFmtId="0" fontId="14" fillId="0" borderId="26" xfId="0" applyNumberFormat="1" applyFont="1" applyFill="1" applyBorder="1" applyAlignment="1" applyProtection="1">
      <alignment horizontal="left" vertical="center"/>
      <protection/>
    </xf>
    <xf numFmtId="49" fontId="13" fillId="0" borderId="25" xfId="0" applyNumberFormat="1" applyFont="1" applyFill="1" applyBorder="1" applyAlignment="1" applyProtection="1">
      <alignment horizontal="left" vertical="center"/>
      <protection/>
    </xf>
    <xf numFmtId="0" fontId="13" fillId="0" borderId="26" xfId="0" applyNumberFormat="1" applyFont="1" applyFill="1" applyBorder="1" applyAlignment="1" applyProtection="1">
      <alignment horizontal="left" vertical="center"/>
      <protection/>
    </xf>
    <xf numFmtId="49" fontId="13" fillId="3" borderId="25" xfId="0" applyNumberFormat="1" applyFont="1" applyFill="1" applyBorder="1" applyAlignment="1" applyProtection="1">
      <alignment horizontal="left" vertical="center"/>
      <protection/>
    </xf>
    <xf numFmtId="0" fontId="13" fillId="3" borderId="35" xfId="0" applyNumberFormat="1" applyFont="1" applyFill="1" applyBorder="1" applyAlignment="1" applyProtection="1">
      <alignment horizontal="left" vertical="center"/>
      <protection/>
    </xf>
    <xf numFmtId="49" fontId="14" fillId="0" borderId="36" xfId="0" applyNumberFormat="1" applyFont="1" applyFill="1" applyBorder="1" applyAlignment="1" applyProtection="1">
      <alignment horizontal="left" vertical="center"/>
      <protection/>
    </xf>
    <xf numFmtId="0" fontId="14" fillId="0" borderId="3" xfId="0" applyNumberFormat="1" applyFont="1" applyFill="1" applyBorder="1" applyAlignment="1" applyProtection="1">
      <alignment horizontal="left" vertical="center"/>
      <protection/>
    </xf>
    <xf numFmtId="0" fontId="14" fillId="0" borderId="37" xfId="0" applyNumberFormat="1" applyFont="1" applyFill="1" applyBorder="1" applyAlignment="1" applyProtection="1">
      <alignment horizontal="left" vertical="center"/>
      <protection/>
    </xf>
    <xf numFmtId="49" fontId="14" fillId="0" borderId="16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38" xfId="0" applyNumberFormat="1" applyFont="1" applyFill="1" applyBorder="1" applyAlignment="1" applyProtection="1">
      <alignment horizontal="left" vertical="center"/>
      <protection/>
    </xf>
    <xf numFmtId="49" fontId="14" fillId="0" borderId="39" xfId="0" applyNumberFormat="1" applyFont="1" applyFill="1" applyBorder="1" applyAlignment="1" applyProtection="1">
      <alignment horizontal="left" vertical="center"/>
      <protection/>
    </xf>
    <xf numFmtId="0" fontId="14" fillId="0" borderId="29" xfId="0" applyNumberFormat="1" applyFont="1" applyFill="1" applyBorder="1" applyAlignment="1" applyProtection="1">
      <alignment horizontal="left" vertical="center"/>
      <protection/>
    </xf>
    <xf numFmtId="0" fontId="14" fillId="0" borderId="40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228600</xdr:colOff>
      <xdr:row>0</xdr:row>
      <xdr:rowOff>885825</xdr:rowOff>
    </xdr:to>
    <xdr:pic>
      <xdr:nvPicPr>
        <xdr:cNvPr id="102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933450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204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895350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2"/>
  <sheetViews>
    <sheetView tabSelected="1" workbookViewId="0" topLeftCell="A1">
      <selection activeCell="A1" sqref="A1:M1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73.421875" style="0" customWidth="1"/>
    <col min="5" max="5" width="4.2812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customWidth="1"/>
    <col min="14" max="14" width="11.57421875" style="0" hidden="1" customWidth="1"/>
    <col min="15" max="47" width="12.140625" style="0" hidden="1" customWidth="1"/>
  </cols>
  <sheetData>
    <row r="1" spans="1:13" ht="72.95" customHeight="1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4" ht="12.75">
      <c r="A2" s="62" t="s">
        <v>1</v>
      </c>
      <c r="B2" s="63"/>
      <c r="C2" s="63"/>
      <c r="D2" s="66" t="s">
        <v>46</v>
      </c>
      <c r="E2" s="68" t="s">
        <v>89</v>
      </c>
      <c r="F2" s="63"/>
      <c r="G2" s="68"/>
      <c r="H2" s="63"/>
      <c r="I2" s="69" t="s">
        <v>104</v>
      </c>
      <c r="J2" s="69"/>
      <c r="K2" s="63"/>
      <c r="L2" s="63"/>
      <c r="M2" s="70"/>
      <c r="N2" s="34"/>
    </row>
    <row r="3" spans="1:14" ht="12.75">
      <c r="A3" s="64"/>
      <c r="B3" s="65"/>
      <c r="C3" s="65"/>
      <c r="D3" s="67"/>
      <c r="E3" s="65"/>
      <c r="F3" s="65"/>
      <c r="G3" s="65"/>
      <c r="H3" s="65"/>
      <c r="I3" s="65"/>
      <c r="J3" s="65"/>
      <c r="K3" s="65"/>
      <c r="L3" s="65"/>
      <c r="M3" s="71"/>
      <c r="N3" s="34"/>
    </row>
    <row r="4" spans="1:14" ht="12.75">
      <c r="A4" s="72" t="s">
        <v>2</v>
      </c>
      <c r="B4" s="65"/>
      <c r="C4" s="65"/>
      <c r="D4" s="73" t="s">
        <v>47</v>
      </c>
      <c r="E4" s="74" t="s">
        <v>90</v>
      </c>
      <c r="F4" s="65"/>
      <c r="G4" s="74" t="s">
        <v>6</v>
      </c>
      <c r="H4" s="65"/>
      <c r="I4" s="73" t="s">
        <v>105</v>
      </c>
      <c r="J4" s="73"/>
      <c r="K4" s="65"/>
      <c r="L4" s="65"/>
      <c r="M4" s="71"/>
      <c r="N4" s="34"/>
    </row>
    <row r="5" spans="1:14" ht="12.75">
      <c r="A5" s="64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71"/>
      <c r="N5" s="34"/>
    </row>
    <row r="6" spans="1:14" ht="12.75">
      <c r="A6" s="72" t="s">
        <v>3</v>
      </c>
      <c r="B6" s="65"/>
      <c r="C6" s="65"/>
      <c r="D6" s="73" t="s">
        <v>48</v>
      </c>
      <c r="E6" s="74" t="s">
        <v>91</v>
      </c>
      <c r="F6" s="65"/>
      <c r="G6" s="65"/>
      <c r="H6" s="65"/>
      <c r="I6" s="73" t="s">
        <v>106</v>
      </c>
      <c r="J6" s="73"/>
      <c r="K6" s="65"/>
      <c r="L6" s="65"/>
      <c r="M6" s="71"/>
      <c r="N6" s="34"/>
    </row>
    <row r="7" spans="1:14" ht="12.75">
      <c r="A7" s="64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71"/>
      <c r="N7" s="34"/>
    </row>
    <row r="8" spans="1:14" ht="12.75">
      <c r="A8" s="72" t="s">
        <v>4</v>
      </c>
      <c r="B8" s="65"/>
      <c r="C8" s="65"/>
      <c r="D8" s="73"/>
      <c r="E8" s="74" t="s">
        <v>92</v>
      </c>
      <c r="F8" s="65"/>
      <c r="G8" s="77">
        <v>42622</v>
      </c>
      <c r="H8" s="65"/>
      <c r="I8" s="73" t="s">
        <v>107</v>
      </c>
      <c r="J8" s="73" t="s">
        <v>109</v>
      </c>
      <c r="K8" s="65"/>
      <c r="L8" s="65"/>
      <c r="M8" s="71"/>
      <c r="N8" s="34"/>
    </row>
    <row r="9" spans="1:14" ht="12.75">
      <c r="A9" s="75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8"/>
      <c r="N9" s="34"/>
    </row>
    <row r="10" spans="1:14" ht="12.75">
      <c r="A10" s="1" t="s">
        <v>5</v>
      </c>
      <c r="B10" s="10" t="s">
        <v>23</v>
      </c>
      <c r="C10" s="10" t="s">
        <v>24</v>
      </c>
      <c r="D10" s="10" t="s">
        <v>49</v>
      </c>
      <c r="E10" s="10" t="s">
        <v>93</v>
      </c>
      <c r="F10" s="17" t="s">
        <v>98</v>
      </c>
      <c r="G10" s="22" t="s">
        <v>99</v>
      </c>
      <c r="H10" s="79" t="s">
        <v>101</v>
      </c>
      <c r="I10" s="80"/>
      <c r="J10" s="81"/>
      <c r="K10" s="79" t="s">
        <v>111</v>
      </c>
      <c r="L10" s="81"/>
      <c r="M10" s="29" t="s">
        <v>112</v>
      </c>
      <c r="N10" s="35"/>
    </row>
    <row r="11" spans="1:24" ht="12.75">
      <c r="A11" s="2" t="s">
        <v>6</v>
      </c>
      <c r="B11" s="11" t="s">
        <v>6</v>
      </c>
      <c r="C11" s="11" t="s">
        <v>6</v>
      </c>
      <c r="D11" s="15" t="s">
        <v>50</v>
      </c>
      <c r="E11" s="11" t="s">
        <v>6</v>
      </c>
      <c r="F11" s="11" t="s">
        <v>6</v>
      </c>
      <c r="G11" s="23" t="s">
        <v>100</v>
      </c>
      <c r="H11" s="24" t="s">
        <v>102</v>
      </c>
      <c r="I11" s="25" t="s">
        <v>108</v>
      </c>
      <c r="J11" s="26" t="s">
        <v>110</v>
      </c>
      <c r="K11" s="24" t="s">
        <v>99</v>
      </c>
      <c r="L11" s="26" t="s">
        <v>110</v>
      </c>
      <c r="M11" s="30" t="s">
        <v>113</v>
      </c>
      <c r="N11" s="35"/>
      <c r="P11" s="28" t="s">
        <v>116</v>
      </c>
      <c r="Q11" s="28" t="s">
        <v>117</v>
      </c>
      <c r="R11" s="28" t="s">
        <v>119</v>
      </c>
      <c r="S11" s="28" t="s">
        <v>120</v>
      </c>
      <c r="T11" s="28" t="s">
        <v>121</v>
      </c>
      <c r="U11" s="28" t="s">
        <v>122</v>
      </c>
      <c r="V11" s="28" t="s">
        <v>123</v>
      </c>
      <c r="W11" s="28" t="s">
        <v>124</v>
      </c>
      <c r="X11" s="28" t="s">
        <v>125</v>
      </c>
    </row>
    <row r="12" spans="1:37" ht="12.75">
      <c r="A12" s="3"/>
      <c r="B12" s="12"/>
      <c r="C12" s="12" t="s">
        <v>17</v>
      </c>
      <c r="D12" s="82" t="s">
        <v>51</v>
      </c>
      <c r="E12" s="83"/>
      <c r="F12" s="83"/>
      <c r="G12" s="83"/>
      <c r="H12" s="38">
        <f>SUM(H13:H19)</f>
        <v>0</v>
      </c>
      <c r="I12" s="38">
        <f>SUM(I13:I19)</f>
        <v>0</v>
      </c>
      <c r="J12" s="38">
        <f>H12+I12</f>
        <v>0</v>
      </c>
      <c r="K12" s="27"/>
      <c r="L12" s="38">
        <f>SUM(L13:L19)</f>
        <v>197.74567290000002</v>
      </c>
      <c r="M12" s="27"/>
      <c r="P12" s="39">
        <f>IF(Q12="PR",J12,SUM(O13:O19))</f>
        <v>0</v>
      </c>
      <c r="Q12" s="28" t="s">
        <v>118</v>
      </c>
      <c r="R12" s="39">
        <f>IF(Q12="HS",H12,0)</f>
        <v>0</v>
      </c>
      <c r="S12" s="39">
        <f>IF(Q12="HS",I12-P12,0)</f>
        <v>0</v>
      </c>
      <c r="T12" s="39">
        <f>IF(Q12="PS",H12,0)</f>
        <v>0</v>
      </c>
      <c r="U12" s="39">
        <f>IF(Q12="PS",I12-P12,0)</f>
        <v>0</v>
      </c>
      <c r="V12" s="39">
        <f>IF(Q12="MP",H12,0)</f>
        <v>0</v>
      </c>
      <c r="W12" s="39">
        <f>IF(Q12="MP",I12-P12,0)</f>
        <v>0</v>
      </c>
      <c r="X12" s="39">
        <f>IF(Q12="OM",H12,0)</f>
        <v>0</v>
      </c>
      <c r="Y12" s="28"/>
      <c r="AI12" s="39">
        <f>SUM(Z13:Z19)</f>
        <v>0</v>
      </c>
      <c r="AJ12" s="39">
        <f>SUM(AA13:AA19)</f>
        <v>0</v>
      </c>
      <c r="AK12" s="39">
        <f>SUM(AB13:AB19)</f>
        <v>0</v>
      </c>
    </row>
    <row r="13" spans="1:43" ht="12.75">
      <c r="A13" s="4" t="s">
        <v>7</v>
      </c>
      <c r="B13" s="4"/>
      <c r="C13" s="4" t="s">
        <v>25</v>
      </c>
      <c r="D13" s="4" t="s">
        <v>52</v>
      </c>
      <c r="E13" s="4" t="s">
        <v>94</v>
      </c>
      <c r="F13" s="18">
        <v>61.4317</v>
      </c>
      <c r="G13" s="18">
        <v>0</v>
      </c>
      <c r="H13" s="18">
        <f>F13*AE13</f>
        <v>0</v>
      </c>
      <c r="I13" s="18">
        <f>J13-H13</f>
        <v>0</v>
      </c>
      <c r="J13" s="18">
        <f>F13*G13</f>
        <v>0</v>
      </c>
      <c r="K13" s="18">
        <v>1.6</v>
      </c>
      <c r="L13" s="18">
        <f>F13*K13</f>
        <v>98.29072000000001</v>
      </c>
      <c r="M13" s="31" t="s">
        <v>114</v>
      </c>
      <c r="N13" s="31" t="s">
        <v>7</v>
      </c>
      <c r="O13" s="18">
        <f>IF(N13="5",I13,0)</f>
        <v>0</v>
      </c>
      <c r="Z13" s="18">
        <f>IF(AD13=0,J13,0)</f>
        <v>0</v>
      </c>
      <c r="AA13" s="18">
        <f>IF(AD13=15,J13,0)</f>
        <v>0</v>
      </c>
      <c r="AB13" s="18">
        <f>IF(AD13=21,J13,0)</f>
        <v>0</v>
      </c>
      <c r="AD13" s="36">
        <v>21</v>
      </c>
      <c r="AE13" s="36">
        <f>G13*0</f>
        <v>0</v>
      </c>
      <c r="AF13" s="36">
        <f>G13*(1-0)</f>
        <v>0</v>
      </c>
      <c r="AM13" s="36">
        <f>F13*AE13</f>
        <v>0</v>
      </c>
      <c r="AN13" s="36">
        <f>F13*AF13</f>
        <v>0</v>
      </c>
      <c r="AO13" s="37" t="s">
        <v>126</v>
      </c>
      <c r="AP13" s="37" t="s">
        <v>134</v>
      </c>
      <c r="AQ13" s="28" t="s">
        <v>137</v>
      </c>
    </row>
    <row r="14" spans="4:6" ht="12.75">
      <c r="D14" s="16" t="s">
        <v>53</v>
      </c>
      <c r="F14" s="19">
        <v>61.4317</v>
      </c>
    </row>
    <row r="15" spans="1:43" ht="12.75">
      <c r="A15" s="4" t="s">
        <v>8</v>
      </c>
      <c r="B15" s="4"/>
      <c r="C15" s="4" t="s">
        <v>26</v>
      </c>
      <c r="D15" s="4" t="s">
        <v>54</v>
      </c>
      <c r="E15" s="4" t="s">
        <v>95</v>
      </c>
      <c r="F15" s="18">
        <v>614.31705</v>
      </c>
      <c r="G15" s="18">
        <v>0</v>
      </c>
      <c r="H15" s="18">
        <f>F15*AE15</f>
        <v>0</v>
      </c>
      <c r="I15" s="18">
        <f>J15-H15</f>
        <v>0</v>
      </c>
      <c r="J15" s="18">
        <f>F15*G15</f>
        <v>0</v>
      </c>
      <c r="K15" s="18">
        <v>0.138</v>
      </c>
      <c r="L15" s="18">
        <f>F15*K15</f>
        <v>84.7757529</v>
      </c>
      <c r="M15" s="31" t="s">
        <v>114</v>
      </c>
      <c r="N15" s="31" t="s">
        <v>7</v>
      </c>
      <c r="O15" s="18">
        <f>IF(N15="5",I15,0)</f>
        <v>0</v>
      </c>
      <c r="Z15" s="18">
        <f>IF(AD15=0,J15,0)</f>
        <v>0</v>
      </c>
      <c r="AA15" s="18">
        <f>IF(AD15=15,J15,0)</f>
        <v>0</v>
      </c>
      <c r="AB15" s="18">
        <f>IF(AD15=21,J15,0)</f>
        <v>0</v>
      </c>
      <c r="AD15" s="36">
        <v>21</v>
      </c>
      <c r="AE15" s="36">
        <f>G15*0</f>
        <v>0</v>
      </c>
      <c r="AF15" s="36">
        <f>G15*(1-0)</f>
        <v>0</v>
      </c>
      <c r="AM15" s="36">
        <f>F15*AE15</f>
        <v>0</v>
      </c>
      <c r="AN15" s="36">
        <f>F15*AF15</f>
        <v>0</v>
      </c>
      <c r="AO15" s="37" t="s">
        <v>126</v>
      </c>
      <c r="AP15" s="37" t="s">
        <v>134</v>
      </c>
      <c r="AQ15" s="28" t="s">
        <v>137</v>
      </c>
    </row>
    <row r="16" spans="4:6" ht="12.75">
      <c r="D16" s="16" t="s">
        <v>55</v>
      </c>
      <c r="F16" s="19">
        <v>493.1725</v>
      </c>
    </row>
    <row r="17" spans="4:6" ht="12.75">
      <c r="D17" s="16" t="s">
        <v>56</v>
      </c>
      <c r="F17" s="19">
        <v>106.93255</v>
      </c>
    </row>
    <row r="18" spans="4:6" ht="12.75">
      <c r="D18" s="16" t="s">
        <v>57</v>
      </c>
      <c r="F18" s="19">
        <v>14.212</v>
      </c>
    </row>
    <row r="19" spans="1:43" ht="12.75">
      <c r="A19" s="4" t="s">
        <v>9</v>
      </c>
      <c r="B19" s="4"/>
      <c r="C19" s="4" t="s">
        <v>27</v>
      </c>
      <c r="D19" s="4" t="s">
        <v>58</v>
      </c>
      <c r="E19" s="4" t="s">
        <v>96</v>
      </c>
      <c r="F19" s="18">
        <v>366.98</v>
      </c>
      <c r="G19" s="18">
        <v>0</v>
      </c>
      <c r="H19" s="18">
        <f>F19*AE19</f>
        <v>0</v>
      </c>
      <c r="I19" s="18">
        <f>J19-H19</f>
        <v>0</v>
      </c>
      <c r="J19" s="18">
        <f>F19*G19</f>
        <v>0</v>
      </c>
      <c r="K19" s="18">
        <v>0.04</v>
      </c>
      <c r="L19" s="18">
        <f>F19*K19</f>
        <v>14.679200000000002</v>
      </c>
      <c r="M19" s="31" t="s">
        <v>114</v>
      </c>
      <c r="N19" s="31" t="s">
        <v>7</v>
      </c>
      <c r="O19" s="18">
        <f>IF(N19="5",I19,0)</f>
        <v>0</v>
      </c>
      <c r="Z19" s="18">
        <f>IF(AD19=0,J19,0)</f>
        <v>0</v>
      </c>
      <c r="AA19" s="18">
        <f>IF(AD19=15,J19,0)</f>
        <v>0</v>
      </c>
      <c r="AB19" s="18">
        <f>IF(AD19=21,J19,0)</f>
        <v>0</v>
      </c>
      <c r="AD19" s="36">
        <v>21</v>
      </c>
      <c r="AE19" s="36">
        <f>G19*0</f>
        <v>0</v>
      </c>
      <c r="AF19" s="36">
        <f>G19*(1-0)</f>
        <v>0</v>
      </c>
      <c r="AM19" s="36">
        <f>F19*AE19</f>
        <v>0</v>
      </c>
      <c r="AN19" s="36">
        <f>F19*AF19</f>
        <v>0</v>
      </c>
      <c r="AO19" s="37" t="s">
        <v>126</v>
      </c>
      <c r="AP19" s="37" t="s">
        <v>134</v>
      </c>
      <c r="AQ19" s="28" t="s">
        <v>137</v>
      </c>
    </row>
    <row r="20" spans="4:6" ht="12.75">
      <c r="D20" s="16" t="s">
        <v>59</v>
      </c>
      <c r="F20" s="19">
        <v>274.53</v>
      </c>
    </row>
    <row r="21" spans="4:6" ht="12.75">
      <c r="D21" s="16" t="s">
        <v>60</v>
      </c>
      <c r="F21" s="19">
        <v>73.07</v>
      </c>
    </row>
    <row r="22" spans="4:6" ht="12.75">
      <c r="D22" s="16" t="s">
        <v>61</v>
      </c>
      <c r="F22" s="19">
        <v>19.38</v>
      </c>
    </row>
    <row r="23" spans="1:37" ht="12.75">
      <c r="A23" s="5"/>
      <c r="B23" s="13"/>
      <c r="C23" s="13" t="s">
        <v>18</v>
      </c>
      <c r="D23" s="84" t="s">
        <v>62</v>
      </c>
      <c r="E23" s="85"/>
      <c r="F23" s="85"/>
      <c r="G23" s="85"/>
      <c r="H23" s="39">
        <f>SUM(H24:H24)</f>
        <v>0</v>
      </c>
      <c r="I23" s="39">
        <f>SUM(I24:I24)</f>
        <v>0</v>
      </c>
      <c r="J23" s="39">
        <f>H23+I23</f>
        <v>0</v>
      </c>
      <c r="K23" s="28"/>
      <c r="L23" s="39">
        <f>SUM(L24:L24)</f>
        <v>0</v>
      </c>
      <c r="M23" s="28"/>
      <c r="P23" s="39">
        <f>IF(Q23="PR",J23,SUM(O24:O24))</f>
        <v>0</v>
      </c>
      <c r="Q23" s="28" t="s">
        <v>118</v>
      </c>
      <c r="R23" s="39">
        <f>IF(Q23="HS",H23,0)</f>
        <v>0</v>
      </c>
      <c r="S23" s="39">
        <f>IF(Q23="HS",I23-P23,0)</f>
        <v>0</v>
      </c>
      <c r="T23" s="39">
        <f>IF(Q23="PS",H23,0)</f>
        <v>0</v>
      </c>
      <c r="U23" s="39">
        <f>IF(Q23="PS",I23-P23,0)</f>
        <v>0</v>
      </c>
      <c r="V23" s="39">
        <f>IF(Q23="MP",H23,0)</f>
        <v>0</v>
      </c>
      <c r="W23" s="39">
        <f>IF(Q23="MP",I23-P23,0)</f>
        <v>0</v>
      </c>
      <c r="X23" s="39">
        <f>IF(Q23="OM",H23,0)</f>
        <v>0</v>
      </c>
      <c r="Y23" s="28"/>
      <c r="AI23" s="39">
        <f>SUM(Z24:Z24)</f>
        <v>0</v>
      </c>
      <c r="AJ23" s="39">
        <f>SUM(AA24:AA24)</f>
        <v>0</v>
      </c>
      <c r="AK23" s="39">
        <f>SUM(AB24:AB24)</f>
        <v>0</v>
      </c>
    </row>
    <row r="24" spans="1:43" ht="12.75">
      <c r="A24" s="4" t="s">
        <v>10</v>
      </c>
      <c r="B24" s="4"/>
      <c r="C24" s="4" t="s">
        <v>28</v>
      </c>
      <c r="D24" s="4" t="s">
        <v>63</v>
      </c>
      <c r="E24" s="4" t="s">
        <v>94</v>
      </c>
      <c r="F24" s="18">
        <v>67.57487</v>
      </c>
      <c r="G24" s="18">
        <v>0</v>
      </c>
      <c r="H24" s="18">
        <f>F24*AE24</f>
        <v>0</v>
      </c>
      <c r="I24" s="18">
        <f>J24-H24</f>
        <v>0</v>
      </c>
      <c r="J24" s="18">
        <f>F24*G24</f>
        <v>0</v>
      </c>
      <c r="K24" s="18">
        <v>0</v>
      </c>
      <c r="L24" s="18">
        <f>F24*K24</f>
        <v>0</v>
      </c>
      <c r="M24" s="31" t="s">
        <v>114</v>
      </c>
      <c r="N24" s="31" t="s">
        <v>7</v>
      </c>
      <c r="O24" s="18">
        <f>IF(N24="5",I24,0)</f>
        <v>0</v>
      </c>
      <c r="Z24" s="18">
        <f>IF(AD24=0,J24,0)</f>
        <v>0</v>
      </c>
      <c r="AA24" s="18">
        <f>IF(AD24=15,J24,0)</f>
        <v>0</v>
      </c>
      <c r="AB24" s="18">
        <f>IF(AD24=21,J24,0)</f>
        <v>0</v>
      </c>
      <c r="AD24" s="36">
        <v>21</v>
      </c>
      <c r="AE24" s="36">
        <f>G24*0</f>
        <v>0</v>
      </c>
      <c r="AF24" s="36">
        <f>G24*(1-0)</f>
        <v>0</v>
      </c>
      <c r="AM24" s="36">
        <f>F24*AE24</f>
        <v>0</v>
      </c>
      <c r="AN24" s="36">
        <f>F24*AF24</f>
        <v>0</v>
      </c>
      <c r="AO24" s="37" t="s">
        <v>127</v>
      </c>
      <c r="AP24" s="37" t="s">
        <v>134</v>
      </c>
      <c r="AQ24" s="28" t="s">
        <v>137</v>
      </c>
    </row>
    <row r="25" spans="4:6" ht="12.75">
      <c r="D25" s="16" t="s">
        <v>64</v>
      </c>
      <c r="F25" s="19">
        <v>67.57487</v>
      </c>
    </row>
    <row r="26" spans="1:37" ht="12.75">
      <c r="A26" s="5"/>
      <c r="B26" s="13"/>
      <c r="C26" s="13" t="s">
        <v>29</v>
      </c>
      <c r="D26" s="84" t="s">
        <v>65</v>
      </c>
      <c r="E26" s="85"/>
      <c r="F26" s="85"/>
      <c r="G26" s="85"/>
      <c r="H26" s="39">
        <f>SUM(H27:H29)</f>
        <v>0</v>
      </c>
      <c r="I26" s="39">
        <f>SUM(I27:I29)</f>
        <v>0</v>
      </c>
      <c r="J26" s="39">
        <f>H26+I26</f>
        <v>0</v>
      </c>
      <c r="K26" s="28"/>
      <c r="L26" s="39">
        <f>SUM(L27:L29)</f>
        <v>0</v>
      </c>
      <c r="M26" s="28"/>
      <c r="P26" s="39">
        <f>IF(Q26="PR",J26,SUM(O27:O29))</f>
        <v>0</v>
      </c>
      <c r="Q26" s="28" t="s">
        <v>118</v>
      </c>
      <c r="R26" s="39">
        <f>IF(Q26="HS",H26,0)</f>
        <v>0</v>
      </c>
      <c r="S26" s="39">
        <f>IF(Q26="HS",I26-P26,0)</f>
        <v>0</v>
      </c>
      <c r="T26" s="39">
        <f>IF(Q26="PS",H26,0)</f>
        <v>0</v>
      </c>
      <c r="U26" s="39">
        <f>IF(Q26="PS",I26-P26,0)</f>
        <v>0</v>
      </c>
      <c r="V26" s="39">
        <f>IF(Q26="MP",H26,0)</f>
        <v>0</v>
      </c>
      <c r="W26" s="39">
        <f>IF(Q26="MP",I26-P26,0)</f>
        <v>0</v>
      </c>
      <c r="X26" s="39">
        <f>IF(Q26="OM",H26,0)</f>
        <v>0</v>
      </c>
      <c r="Y26" s="28"/>
      <c r="AI26" s="39">
        <f>SUM(Z27:Z29)</f>
        <v>0</v>
      </c>
      <c r="AJ26" s="39">
        <f>SUM(AA27:AA29)</f>
        <v>0</v>
      </c>
      <c r="AK26" s="39">
        <f>SUM(AB27:AB29)</f>
        <v>0</v>
      </c>
    </row>
    <row r="27" spans="1:43" ht="12.75">
      <c r="A27" s="4" t="s">
        <v>11</v>
      </c>
      <c r="B27" s="4"/>
      <c r="C27" s="4" t="s">
        <v>30</v>
      </c>
      <c r="D27" s="4" t="s">
        <v>66</v>
      </c>
      <c r="E27" s="4" t="s">
        <v>94</v>
      </c>
      <c r="F27" s="18">
        <v>129.0065</v>
      </c>
      <c r="G27" s="18">
        <v>0</v>
      </c>
      <c r="H27" s="18">
        <f>F27*AE27</f>
        <v>0</v>
      </c>
      <c r="I27" s="18">
        <f>J27-H27</f>
        <v>0</v>
      </c>
      <c r="J27" s="18">
        <f>F27*G27</f>
        <v>0</v>
      </c>
      <c r="K27" s="18">
        <v>0</v>
      </c>
      <c r="L27" s="18">
        <f>F27*K27</f>
        <v>0</v>
      </c>
      <c r="M27" s="31" t="s">
        <v>114</v>
      </c>
      <c r="N27" s="31" t="s">
        <v>7</v>
      </c>
      <c r="O27" s="18">
        <f>IF(N27="5",I27,0)</f>
        <v>0</v>
      </c>
      <c r="Z27" s="18">
        <f>IF(AD27=0,J27,0)</f>
        <v>0</v>
      </c>
      <c r="AA27" s="18">
        <f>IF(AD27=15,J27,0)</f>
        <v>0</v>
      </c>
      <c r="AB27" s="18">
        <f>IF(AD27=21,J27,0)</f>
        <v>0</v>
      </c>
      <c r="AD27" s="36">
        <v>21</v>
      </c>
      <c r="AE27" s="36">
        <f>G27*0</f>
        <v>0</v>
      </c>
      <c r="AF27" s="36">
        <f>G27*(1-0)</f>
        <v>0</v>
      </c>
      <c r="AM27" s="36">
        <f>F27*AE27</f>
        <v>0</v>
      </c>
      <c r="AN27" s="36">
        <f>F27*AF27</f>
        <v>0</v>
      </c>
      <c r="AO27" s="37" t="s">
        <v>128</v>
      </c>
      <c r="AP27" s="37" t="s">
        <v>134</v>
      </c>
      <c r="AQ27" s="28" t="s">
        <v>137</v>
      </c>
    </row>
    <row r="28" spans="4:6" ht="12.75">
      <c r="D28" s="16" t="s">
        <v>67</v>
      </c>
      <c r="F28" s="19">
        <v>129.0065</v>
      </c>
    </row>
    <row r="29" spans="1:43" ht="12.75">
      <c r="A29" s="4" t="s">
        <v>12</v>
      </c>
      <c r="B29" s="4"/>
      <c r="C29" s="4" t="s">
        <v>31</v>
      </c>
      <c r="D29" s="4" t="s">
        <v>68</v>
      </c>
      <c r="E29" s="4" t="s">
        <v>94</v>
      </c>
      <c r="F29" s="18">
        <v>129.0065</v>
      </c>
      <c r="G29" s="18">
        <v>0</v>
      </c>
      <c r="H29" s="18">
        <f>F29*AE29</f>
        <v>0</v>
      </c>
      <c r="I29" s="18">
        <f>J29-H29</f>
        <v>0</v>
      </c>
      <c r="J29" s="18">
        <f>F29*G29</f>
        <v>0</v>
      </c>
      <c r="K29" s="18">
        <v>0</v>
      </c>
      <c r="L29" s="18">
        <f>F29*K29</f>
        <v>0</v>
      </c>
      <c r="M29" s="31" t="s">
        <v>114</v>
      </c>
      <c r="N29" s="31" t="s">
        <v>7</v>
      </c>
      <c r="O29" s="18">
        <f>IF(N29="5",I29,0)</f>
        <v>0</v>
      </c>
      <c r="Z29" s="18">
        <f>IF(AD29=0,J29,0)</f>
        <v>0</v>
      </c>
      <c r="AA29" s="18">
        <f>IF(AD29=15,J29,0)</f>
        <v>0</v>
      </c>
      <c r="AB29" s="18">
        <f>IF(AD29=21,J29,0)</f>
        <v>0</v>
      </c>
      <c r="AD29" s="36">
        <v>21</v>
      </c>
      <c r="AE29" s="36">
        <f>G29*0</f>
        <v>0</v>
      </c>
      <c r="AF29" s="36">
        <f>G29*(1-0)</f>
        <v>0</v>
      </c>
      <c r="AM29" s="36">
        <f>F29*AE29</f>
        <v>0</v>
      </c>
      <c r="AN29" s="36">
        <f>F29*AF29</f>
        <v>0</v>
      </c>
      <c r="AO29" s="37" t="s">
        <v>128</v>
      </c>
      <c r="AP29" s="37" t="s">
        <v>134</v>
      </c>
      <c r="AQ29" s="28" t="s">
        <v>137</v>
      </c>
    </row>
    <row r="30" spans="1:37" ht="12.75">
      <c r="A30" s="5"/>
      <c r="B30" s="13"/>
      <c r="C30" s="13" t="s">
        <v>32</v>
      </c>
      <c r="D30" s="84" t="s">
        <v>69</v>
      </c>
      <c r="E30" s="85"/>
      <c r="F30" s="85"/>
      <c r="G30" s="85"/>
      <c r="H30" s="39">
        <f>SUM(H31:H31)</f>
        <v>0</v>
      </c>
      <c r="I30" s="39">
        <f>SUM(I31:I31)</f>
        <v>0</v>
      </c>
      <c r="J30" s="39">
        <f>H30+I30</f>
        <v>0</v>
      </c>
      <c r="K30" s="28"/>
      <c r="L30" s="39">
        <f>SUM(L31:L31)</f>
        <v>0</v>
      </c>
      <c r="M30" s="28"/>
      <c r="P30" s="39">
        <f>IF(Q30="PR",J30,SUM(O31:O31))</f>
        <v>0</v>
      </c>
      <c r="Q30" s="28" t="s">
        <v>118</v>
      </c>
      <c r="R30" s="39">
        <f>IF(Q30="HS",H30,0)</f>
        <v>0</v>
      </c>
      <c r="S30" s="39">
        <f>IF(Q30="HS",I30-P30,0)</f>
        <v>0</v>
      </c>
      <c r="T30" s="39">
        <f>IF(Q30="PS",H30,0)</f>
        <v>0</v>
      </c>
      <c r="U30" s="39">
        <f>IF(Q30="PS",I30-P30,0)</f>
        <v>0</v>
      </c>
      <c r="V30" s="39">
        <f>IF(Q30="MP",H30,0)</f>
        <v>0</v>
      </c>
      <c r="W30" s="39">
        <f>IF(Q30="MP",I30-P30,0)</f>
        <v>0</v>
      </c>
      <c r="X30" s="39">
        <f>IF(Q30="OM",H30,0)</f>
        <v>0</v>
      </c>
      <c r="Y30" s="28"/>
      <c r="AI30" s="39">
        <f>SUM(Z31:Z31)</f>
        <v>0</v>
      </c>
      <c r="AJ30" s="39">
        <f>SUM(AA31:AA31)</f>
        <v>0</v>
      </c>
      <c r="AK30" s="39">
        <f>SUM(AB31:AB31)</f>
        <v>0</v>
      </c>
    </row>
    <row r="31" spans="1:43" ht="12.75">
      <c r="A31" s="4" t="s">
        <v>13</v>
      </c>
      <c r="B31" s="4"/>
      <c r="C31" s="4" t="s">
        <v>33</v>
      </c>
      <c r="D31" s="4" t="s">
        <v>70</v>
      </c>
      <c r="E31" s="4" t="s">
        <v>95</v>
      </c>
      <c r="F31" s="18">
        <v>614.317</v>
      </c>
      <c r="G31" s="18">
        <v>0</v>
      </c>
      <c r="H31" s="18">
        <f>F31*AE31</f>
        <v>0</v>
      </c>
      <c r="I31" s="18">
        <f>J31-H31</f>
        <v>0</v>
      </c>
      <c r="J31" s="18">
        <f>F31*G31</f>
        <v>0</v>
      </c>
      <c r="K31" s="18">
        <v>0</v>
      </c>
      <c r="L31" s="18">
        <f>F31*K31</f>
        <v>0</v>
      </c>
      <c r="M31" s="31" t="s">
        <v>114</v>
      </c>
      <c r="N31" s="31" t="s">
        <v>7</v>
      </c>
      <c r="O31" s="18">
        <f>IF(N31="5",I31,0)</f>
        <v>0</v>
      </c>
      <c r="Z31" s="18">
        <f>IF(AD31=0,J31,0)</f>
        <v>0</v>
      </c>
      <c r="AA31" s="18">
        <f>IF(AD31=15,J31,0)</f>
        <v>0</v>
      </c>
      <c r="AB31" s="18">
        <f>IF(AD31=21,J31,0)</f>
        <v>0</v>
      </c>
      <c r="AD31" s="36">
        <v>21</v>
      </c>
      <c r="AE31" s="36">
        <f>G31*0</f>
        <v>0</v>
      </c>
      <c r="AF31" s="36">
        <f>G31*(1-0)</f>
        <v>0</v>
      </c>
      <c r="AM31" s="36">
        <f>F31*AE31</f>
        <v>0</v>
      </c>
      <c r="AN31" s="36">
        <f>F31*AF31</f>
        <v>0</v>
      </c>
      <c r="AO31" s="37" t="s">
        <v>129</v>
      </c>
      <c r="AP31" s="37" t="s">
        <v>134</v>
      </c>
      <c r="AQ31" s="28" t="s">
        <v>137</v>
      </c>
    </row>
    <row r="32" spans="1:37" ht="12.75">
      <c r="A32" s="5"/>
      <c r="B32" s="13"/>
      <c r="C32" s="13" t="s">
        <v>34</v>
      </c>
      <c r="D32" s="84" t="s">
        <v>71</v>
      </c>
      <c r="E32" s="85"/>
      <c r="F32" s="85"/>
      <c r="G32" s="85"/>
      <c r="H32" s="39">
        <f>SUM(H33:H33)</f>
        <v>0</v>
      </c>
      <c r="I32" s="39">
        <f>SUM(I33:I33)</f>
        <v>0</v>
      </c>
      <c r="J32" s="39">
        <f>H32+I32</f>
        <v>0</v>
      </c>
      <c r="K32" s="28"/>
      <c r="L32" s="39">
        <f>SUM(L33:L33)</f>
        <v>171.97190098000002</v>
      </c>
      <c r="M32" s="28"/>
      <c r="P32" s="39">
        <f>IF(Q32="PR",J32,SUM(O33:O33))</f>
        <v>0</v>
      </c>
      <c r="Q32" s="28" t="s">
        <v>118</v>
      </c>
      <c r="R32" s="39">
        <f>IF(Q32="HS",H32,0)</f>
        <v>0</v>
      </c>
      <c r="S32" s="39">
        <f>IF(Q32="HS",I32-P32,0)</f>
        <v>0</v>
      </c>
      <c r="T32" s="39">
        <f>IF(Q32="PS",H32,0)</f>
        <v>0</v>
      </c>
      <c r="U32" s="39">
        <f>IF(Q32="PS",I32-P32,0)</f>
        <v>0</v>
      </c>
      <c r="V32" s="39">
        <f>IF(Q32="MP",H32,0)</f>
        <v>0</v>
      </c>
      <c r="W32" s="39">
        <f>IF(Q32="MP",I32-P32,0)</f>
        <v>0</v>
      </c>
      <c r="X32" s="39">
        <f>IF(Q32="OM",H32,0)</f>
        <v>0</v>
      </c>
      <c r="Y32" s="28"/>
      <c r="AI32" s="39">
        <f>SUM(Z33:Z33)</f>
        <v>0</v>
      </c>
      <c r="AJ32" s="39">
        <f>SUM(AA33:AA33)</f>
        <v>0</v>
      </c>
      <c r="AK32" s="39">
        <f>SUM(AB33:AB33)</f>
        <v>0</v>
      </c>
    </row>
    <row r="33" spans="1:43" ht="12.75">
      <c r="A33" s="4" t="s">
        <v>14</v>
      </c>
      <c r="B33" s="4"/>
      <c r="C33" s="4" t="s">
        <v>35</v>
      </c>
      <c r="D33" s="4" t="s">
        <v>72</v>
      </c>
      <c r="E33" s="4" t="s">
        <v>95</v>
      </c>
      <c r="F33" s="18">
        <v>614.317</v>
      </c>
      <c r="G33" s="18">
        <v>0</v>
      </c>
      <c r="H33" s="18">
        <f>F33*AE33</f>
        <v>0</v>
      </c>
      <c r="I33" s="18">
        <f>J33-H33</f>
        <v>0</v>
      </c>
      <c r="J33" s="18">
        <f>F33*G33</f>
        <v>0</v>
      </c>
      <c r="K33" s="18">
        <v>0.27994</v>
      </c>
      <c r="L33" s="18">
        <f>F33*K33</f>
        <v>171.97190098000002</v>
      </c>
      <c r="M33" s="31" t="s">
        <v>114</v>
      </c>
      <c r="N33" s="31" t="s">
        <v>7</v>
      </c>
      <c r="O33" s="18">
        <f>IF(N33="5",I33,0)</f>
        <v>0</v>
      </c>
      <c r="Z33" s="18">
        <f>IF(AD33=0,J33,0)</f>
        <v>0</v>
      </c>
      <c r="AA33" s="18">
        <f>IF(AD33=15,J33,0)</f>
        <v>0</v>
      </c>
      <c r="AB33" s="18">
        <f>IF(AD33=21,J33,0)</f>
        <v>0</v>
      </c>
      <c r="AD33" s="36">
        <v>21</v>
      </c>
      <c r="AE33" s="36">
        <f>G33*0.857782825414853</f>
        <v>0</v>
      </c>
      <c r="AF33" s="36">
        <f>G33*(1-0.857782825414853)</f>
        <v>0</v>
      </c>
      <c r="AM33" s="36">
        <f>F33*AE33</f>
        <v>0</v>
      </c>
      <c r="AN33" s="36">
        <f>F33*AF33</f>
        <v>0</v>
      </c>
      <c r="AO33" s="37" t="s">
        <v>130</v>
      </c>
      <c r="AP33" s="37" t="s">
        <v>135</v>
      </c>
      <c r="AQ33" s="28" t="s">
        <v>137</v>
      </c>
    </row>
    <row r="34" spans="1:37" ht="12.75">
      <c r="A34" s="5"/>
      <c r="B34" s="13"/>
      <c r="C34" s="13" t="s">
        <v>36</v>
      </c>
      <c r="D34" s="84" t="s">
        <v>73</v>
      </c>
      <c r="E34" s="85"/>
      <c r="F34" s="85"/>
      <c r="G34" s="85"/>
      <c r="H34" s="39">
        <f>SUM(H35:H39)</f>
        <v>0</v>
      </c>
      <c r="I34" s="39">
        <f>SUM(I35:I39)</f>
        <v>0</v>
      </c>
      <c r="J34" s="39">
        <f>H34+I34</f>
        <v>0</v>
      </c>
      <c r="K34" s="28"/>
      <c r="L34" s="39">
        <f>SUM(L35:L39)</f>
        <v>104.22014374000001</v>
      </c>
      <c r="M34" s="28"/>
      <c r="P34" s="39">
        <f>IF(Q34="PR",J34,SUM(O35:O39))</f>
        <v>0</v>
      </c>
      <c r="Q34" s="28" t="s">
        <v>118</v>
      </c>
      <c r="R34" s="39">
        <f>IF(Q34="HS",H34,0)</f>
        <v>0</v>
      </c>
      <c r="S34" s="39">
        <f>IF(Q34="HS",I34-P34,0)</f>
        <v>0</v>
      </c>
      <c r="T34" s="39">
        <f>IF(Q34="PS",H34,0)</f>
        <v>0</v>
      </c>
      <c r="U34" s="39">
        <f>IF(Q34="PS",I34-P34,0)</f>
        <v>0</v>
      </c>
      <c r="V34" s="39">
        <f>IF(Q34="MP",H34,0)</f>
        <v>0</v>
      </c>
      <c r="W34" s="39">
        <f>IF(Q34="MP",I34-P34,0)</f>
        <v>0</v>
      </c>
      <c r="X34" s="39">
        <f>IF(Q34="OM",H34,0)</f>
        <v>0</v>
      </c>
      <c r="Y34" s="28"/>
      <c r="AI34" s="39">
        <f>SUM(Z35:Z39)</f>
        <v>0</v>
      </c>
      <c r="AJ34" s="39">
        <f>SUM(AA35:AA39)</f>
        <v>0</v>
      </c>
      <c r="AK34" s="39">
        <f>SUM(AB35:AB39)</f>
        <v>0</v>
      </c>
    </row>
    <row r="35" spans="1:43" ht="12.75">
      <c r="A35" s="4" t="s">
        <v>15</v>
      </c>
      <c r="B35" s="4"/>
      <c r="C35" s="4" t="s">
        <v>37</v>
      </c>
      <c r="D35" s="4" t="s">
        <v>74</v>
      </c>
      <c r="E35" s="4" t="s">
        <v>95</v>
      </c>
      <c r="F35" s="18">
        <v>614.317</v>
      </c>
      <c r="G35" s="18">
        <v>0</v>
      </c>
      <c r="H35" s="18">
        <f>F35*AE35</f>
        <v>0</v>
      </c>
      <c r="I35" s="18">
        <f>J35-H35</f>
        <v>0</v>
      </c>
      <c r="J35" s="18">
        <f>F35*G35</f>
        <v>0</v>
      </c>
      <c r="K35" s="18">
        <v>0.05545</v>
      </c>
      <c r="L35" s="18">
        <f>F35*K35</f>
        <v>34.06387765</v>
      </c>
      <c r="M35" s="31" t="s">
        <v>114</v>
      </c>
      <c r="N35" s="31" t="s">
        <v>7</v>
      </c>
      <c r="O35" s="18">
        <f>IF(N35="5",I35,0)</f>
        <v>0</v>
      </c>
      <c r="Z35" s="18">
        <f>IF(AD35=0,J35,0)</f>
        <v>0</v>
      </c>
      <c r="AA35" s="18">
        <f>IF(AD35=15,J35,0)</f>
        <v>0</v>
      </c>
      <c r="AB35" s="18">
        <f>IF(AD35=21,J35,0)</f>
        <v>0</v>
      </c>
      <c r="AD35" s="36">
        <v>21</v>
      </c>
      <c r="AE35" s="36">
        <f>G35*0.158517045140616</f>
        <v>0</v>
      </c>
      <c r="AF35" s="36">
        <f>G35*(1-0.158517045140616)</f>
        <v>0</v>
      </c>
      <c r="AM35" s="36">
        <f>F35*AE35</f>
        <v>0</v>
      </c>
      <c r="AN35" s="36">
        <f>F35*AF35</f>
        <v>0</v>
      </c>
      <c r="AO35" s="37" t="s">
        <v>131</v>
      </c>
      <c r="AP35" s="37" t="s">
        <v>135</v>
      </c>
      <c r="AQ35" s="28" t="s">
        <v>137</v>
      </c>
    </row>
    <row r="36" spans="1:43" ht="12.75">
      <c r="A36" s="6" t="s">
        <v>16</v>
      </c>
      <c r="B36" s="6"/>
      <c r="C36" s="6" t="s">
        <v>38</v>
      </c>
      <c r="D36" s="6" t="s">
        <v>75</v>
      </c>
      <c r="E36" s="6" t="s">
        <v>95</v>
      </c>
      <c r="F36" s="20">
        <v>617.80993</v>
      </c>
      <c r="G36" s="20">
        <v>0</v>
      </c>
      <c r="H36" s="20">
        <f>F36*AE36</f>
        <v>0</v>
      </c>
      <c r="I36" s="20">
        <f>J36-H36</f>
        <v>0</v>
      </c>
      <c r="J36" s="20">
        <f>F36*G36</f>
        <v>0</v>
      </c>
      <c r="K36" s="20">
        <v>0.113</v>
      </c>
      <c r="L36" s="20">
        <f>F36*K36</f>
        <v>69.81252209</v>
      </c>
      <c r="M36" s="32" t="s">
        <v>114</v>
      </c>
      <c r="N36" s="32" t="s">
        <v>115</v>
      </c>
      <c r="O36" s="20">
        <f>IF(N36="5",I36,0)</f>
        <v>0</v>
      </c>
      <c r="Z36" s="20">
        <f>IF(AD36=0,J36,0)</f>
        <v>0</v>
      </c>
      <c r="AA36" s="20">
        <f>IF(AD36=15,J36,0)</f>
        <v>0</v>
      </c>
      <c r="AB36" s="20">
        <f>IF(AD36=21,J36,0)</f>
        <v>0</v>
      </c>
      <c r="AD36" s="36">
        <v>21</v>
      </c>
      <c r="AE36" s="36">
        <f>G36*1</f>
        <v>0</v>
      </c>
      <c r="AF36" s="36">
        <f>G36*(1-1)</f>
        <v>0</v>
      </c>
      <c r="AM36" s="36">
        <f>F36*AE36</f>
        <v>0</v>
      </c>
      <c r="AN36" s="36">
        <f>F36*AF36</f>
        <v>0</v>
      </c>
      <c r="AO36" s="37" t="s">
        <v>131</v>
      </c>
      <c r="AP36" s="37" t="s">
        <v>135</v>
      </c>
      <c r="AQ36" s="28" t="s">
        <v>137</v>
      </c>
    </row>
    <row r="37" spans="4:6" ht="12.75">
      <c r="D37" s="16" t="s">
        <v>76</v>
      </c>
      <c r="F37" s="19">
        <v>611.693</v>
      </c>
    </row>
    <row r="38" spans="4:6" ht="12.75">
      <c r="D38" s="16" t="s">
        <v>77</v>
      </c>
      <c r="F38" s="19">
        <v>6.11693</v>
      </c>
    </row>
    <row r="39" spans="1:43" ht="12.75">
      <c r="A39" s="6" t="s">
        <v>17</v>
      </c>
      <c r="B39" s="6"/>
      <c r="C39" s="6" t="s">
        <v>39</v>
      </c>
      <c r="D39" s="6" t="s">
        <v>78</v>
      </c>
      <c r="E39" s="6" t="s">
        <v>95</v>
      </c>
      <c r="F39" s="20">
        <v>2.624</v>
      </c>
      <c r="G39" s="20">
        <v>0</v>
      </c>
      <c r="H39" s="20">
        <f>F39*AE39</f>
        <v>0</v>
      </c>
      <c r="I39" s="20">
        <f>J39-H39</f>
        <v>0</v>
      </c>
      <c r="J39" s="20">
        <f>F39*G39</f>
        <v>0</v>
      </c>
      <c r="K39" s="20">
        <v>0.131</v>
      </c>
      <c r="L39" s="20">
        <f>F39*K39</f>
        <v>0.34374400000000005</v>
      </c>
      <c r="M39" s="32" t="s">
        <v>114</v>
      </c>
      <c r="N39" s="32" t="s">
        <v>115</v>
      </c>
      <c r="O39" s="20">
        <f>IF(N39="5",I39,0)</f>
        <v>0</v>
      </c>
      <c r="Z39" s="20">
        <f>IF(AD39=0,J39,0)</f>
        <v>0</v>
      </c>
      <c r="AA39" s="20">
        <f>IF(AD39=15,J39,0)</f>
        <v>0</v>
      </c>
      <c r="AB39" s="20">
        <f>IF(AD39=21,J39,0)</f>
        <v>0</v>
      </c>
      <c r="AD39" s="36">
        <v>21</v>
      </c>
      <c r="AE39" s="36">
        <f>G39*1</f>
        <v>0</v>
      </c>
      <c r="AF39" s="36">
        <f>G39*(1-1)</f>
        <v>0</v>
      </c>
      <c r="AM39" s="36">
        <f>F39*AE39</f>
        <v>0</v>
      </c>
      <c r="AN39" s="36">
        <f>F39*AF39</f>
        <v>0</v>
      </c>
      <c r="AO39" s="37" t="s">
        <v>131</v>
      </c>
      <c r="AP39" s="37" t="s">
        <v>135</v>
      </c>
      <c r="AQ39" s="28" t="s">
        <v>137</v>
      </c>
    </row>
    <row r="40" spans="4:6" ht="12.75">
      <c r="D40" s="16" t="s">
        <v>79</v>
      </c>
      <c r="F40" s="19">
        <v>2.624</v>
      </c>
    </row>
    <row r="41" spans="1:37" ht="12.75">
      <c r="A41" s="5"/>
      <c r="B41" s="13"/>
      <c r="C41" s="13" t="s">
        <v>40</v>
      </c>
      <c r="D41" s="84" t="s">
        <v>80</v>
      </c>
      <c r="E41" s="85"/>
      <c r="F41" s="85"/>
      <c r="G41" s="85"/>
      <c r="H41" s="39">
        <f>SUM(H42:H45)</f>
        <v>0</v>
      </c>
      <c r="I41" s="39">
        <f>SUM(I42:I45)</f>
        <v>0</v>
      </c>
      <c r="J41" s="39">
        <f>H41+I41</f>
        <v>0</v>
      </c>
      <c r="K41" s="28"/>
      <c r="L41" s="39">
        <f>SUM(L42:L45)</f>
        <v>42.1556036</v>
      </c>
      <c r="M41" s="28"/>
      <c r="P41" s="39">
        <f>IF(Q41="PR",J41,SUM(O42:O45))</f>
        <v>0</v>
      </c>
      <c r="Q41" s="28" t="s">
        <v>118</v>
      </c>
      <c r="R41" s="39">
        <f>IF(Q41="HS",H41,0)</f>
        <v>0</v>
      </c>
      <c r="S41" s="39">
        <f>IF(Q41="HS",I41-P41,0)</f>
        <v>0</v>
      </c>
      <c r="T41" s="39">
        <f>IF(Q41="PS",H41,0)</f>
        <v>0</v>
      </c>
      <c r="U41" s="39">
        <f>IF(Q41="PS",I41-P41,0)</f>
        <v>0</v>
      </c>
      <c r="V41" s="39">
        <f>IF(Q41="MP",H41,0)</f>
        <v>0</v>
      </c>
      <c r="W41" s="39">
        <f>IF(Q41="MP",I41-P41,0)</f>
        <v>0</v>
      </c>
      <c r="X41" s="39">
        <f>IF(Q41="OM",H41,0)</f>
        <v>0</v>
      </c>
      <c r="Y41" s="28"/>
      <c r="AI41" s="39">
        <f>SUM(Z42:Z45)</f>
        <v>0</v>
      </c>
      <c r="AJ41" s="39">
        <f>SUM(AA42:AA45)</f>
        <v>0</v>
      </c>
      <c r="AK41" s="39">
        <f>SUM(AB42:AB45)</f>
        <v>0</v>
      </c>
    </row>
    <row r="42" spans="1:43" ht="12.75">
      <c r="A42" s="4" t="s">
        <v>18</v>
      </c>
      <c r="B42" s="4"/>
      <c r="C42" s="4" t="s">
        <v>41</v>
      </c>
      <c r="D42" s="4" t="s">
        <v>81</v>
      </c>
      <c r="E42" s="4" t="s">
        <v>96</v>
      </c>
      <c r="F42" s="18">
        <v>360.52</v>
      </c>
      <c r="G42" s="18">
        <v>0</v>
      </c>
      <c r="H42" s="18">
        <f>F42*AE42</f>
        <v>0</v>
      </c>
      <c r="I42" s="18">
        <f>J42-H42</f>
        <v>0</v>
      </c>
      <c r="J42" s="18">
        <f>F42*G42</f>
        <v>0</v>
      </c>
      <c r="K42" s="18">
        <v>0.11693</v>
      </c>
      <c r="L42" s="18">
        <f>F42*K42</f>
        <v>42.1556036</v>
      </c>
      <c r="M42" s="31" t="s">
        <v>114</v>
      </c>
      <c r="N42" s="31" t="s">
        <v>7</v>
      </c>
      <c r="O42" s="18">
        <f>IF(N42="5",I42,0)</f>
        <v>0</v>
      </c>
      <c r="Z42" s="18">
        <f>IF(AD42=0,J42,0)</f>
        <v>0</v>
      </c>
      <c r="AA42" s="18">
        <f>IF(AD42=15,J42,0)</f>
        <v>0</v>
      </c>
      <c r="AB42" s="18">
        <f>IF(AD42=21,J42,0)</f>
        <v>0</v>
      </c>
      <c r="AD42" s="36">
        <v>21</v>
      </c>
      <c r="AE42" s="36">
        <f>G42*0.756057359485742</f>
        <v>0</v>
      </c>
      <c r="AF42" s="36">
        <f>G42*(1-0.756057359485742)</f>
        <v>0</v>
      </c>
      <c r="AM42" s="36">
        <f>F42*AE42</f>
        <v>0</v>
      </c>
      <c r="AN42" s="36">
        <f>F42*AF42</f>
        <v>0</v>
      </c>
      <c r="AO42" s="37" t="s">
        <v>132</v>
      </c>
      <c r="AP42" s="37" t="s">
        <v>136</v>
      </c>
      <c r="AQ42" s="28" t="s">
        <v>137</v>
      </c>
    </row>
    <row r="43" spans="4:6" ht="12.75">
      <c r="D43" s="16" t="s">
        <v>82</v>
      </c>
      <c r="F43" s="19">
        <v>360.52</v>
      </c>
    </row>
    <row r="44" spans="3:13" ht="12.75">
      <c r="C44" s="14" t="s">
        <v>22</v>
      </c>
      <c r="D44" s="86" t="s">
        <v>83</v>
      </c>
      <c r="E44" s="87"/>
      <c r="F44" s="87"/>
      <c r="G44" s="87"/>
      <c r="H44" s="87"/>
      <c r="I44" s="87"/>
      <c r="J44" s="87"/>
      <c r="K44" s="87"/>
      <c r="L44" s="87"/>
      <c r="M44" s="87"/>
    </row>
    <row r="45" spans="1:43" ht="12.75">
      <c r="A45" s="4" t="s">
        <v>19</v>
      </c>
      <c r="B45" s="4"/>
      <c r="C45" s="4" t="s">
        <v>42</v>
      </c>
      <c r="D45" s="4" t="s">
        <v>84</v>
      </c>
      <c r="E45" s="4" t="s">
        <v>97</v>
      </c>
      <c r="F45" s="18">
        <v>516.093</v>
      </c>
      <c r="G45" s="18">
        <v>0</v>
      </c>
      <c r="H45" s="18">
        <f>F45*AE45</f>
        <v>0</v>
      </c>
      <c r="I45" s="18">
        <f>J45-H45</f>
        <v>0</v>
      </c>
      <c r="J45" s="18">
        <f>F45*G45</f>
        <v>0</v>
      </c>
      <c r="K45" s="18">
        <v>0</v>
      </c>
      <c r="L45" s="18">
        <f>F45*K45</f>
        <v>0</v>
      </c>
      <c r="M45" s="31" t="s">
        <v>114</v>
      </c>
      <c r="N45" s="31" t="s">
        <v>11</v>
      </c>
      <c r="O45" s="18">
        <f>IF(N45="5",I45,0)</f>
        <v>0</v>
      </c>
      <c r="Z45" s="18">
        <f>IF(AD45=0,J45,0)</f>
        <v>0</v>
      </c>
      <c r="AA45" s="18">
        <f>IF(AD45=15,J45,0)</f>
        <v>0</v>
      </c>
      <c r="AB45" s="18">
        <f>IF(AD45=21,J45,0)</f>
        <v>0</v>
      </c>
      <c r="AD45" s="36">
        <v>21</v>
      </c>
      <c r="AE45" s="36">
        <f>G45*0</f>
        <v>0</v>
      </c>
      <c r="AF45" s="36">
        <f>G45*(1-0)</f>
        <v>0</v>
      </c>
      <c r="AM45" s="36">
        <f>F45*AE45</f>
        <v>0</v>
      </c>
      <c r="AN45" s="36">
        <f>F45*AF45</f>
        <v>0</v>
      </c>
      <c r="AO45" s="37" t="s">
        <v>132</v>
      </c>
      <c r="AP45" s="37" t="s">
        <v>136</v>
      </c>
      <c r="AQ45" s="28" t="s">
        <v>137</v>
      </c>
    </row>
    <row r="46" spans="1:37" ht="12.75">
      <c r="A46" s="5"/>
      <c r="B46" s="13"/>
      <c r="C46" s="13" t="s">
        <v>43</v>
      </c>
      <c r="D46" s="84" t="s">
        <v>85</v>
      </c>
      <c r="E46" s="85"/>
      <c r="F46" s="85"/>
      <c r="G46" s="85"/>
      <c r="H46" s="39">
        <f>SUM(H47:H49)</f>
        <v>0</v>
      </c>
      <c r="I46" s="39">
        <f>SUM(I47:I49)</f>
        <v>0</v>
      </c>
      <c r="J46" s="39">
        <f>H46+I46</f>
        <v>0</v>
      </c>
      <c r="K46" s="28"/>
      <c r="L46" s="39">
        <f>SUM(L47:L49)</f>
        <v>0</v>
      </c>
      <c r="M46" s="28"/>
      <c r="P46" s="39">
        <f>IF(Q46="PR",J46,SUM(O47:O49))</f>
        <v>0</v>
      </c>
      <c r="Q46" s="28" t="s">
        <v>118</v>
      </c>
      <c r="R46" s="39">
        <f>IF(Q46="HS",H46,0)</f>
        <v>0</v>
      </c>
      <c r="S46" s="39">
        <f>IF(Q46="HS",I46-P46,0)</f>
        <v>0</v>
      </c>
      <c r="T46" s="39">
        <f>IF(Q46="PS",H46,0)</f>
        <v>0</v>
      </c>
      <c r="U46" s="39">
        <f>IF(Q46="PS",I46-P46,0)</f>
        <v>0</v>
      </c>
      <c r="V46" s="39">
        <f>IF(Q46="MP",H46,0)</f>
        <v>0</v>
      </c>
      <c r="W46" s="39">
        <f>IF(Q46="MP",I46-P46,0)</f>
        <v>0</v>
      </c>
      <c r="X46" s="39">
        <f>IF(Q46="OM",H46,0)</f>
        <v>0</v>
      </c>
      <c r="Y46" s="28"/>
      <c r="AI46" s="39">
        <f>SUM(Z47:Z49)</f>
        <v>0</v>
      </c>
      <c r="AJ46" s="39">
        <f>SUM(AA47:AA49)</f>
        <v>0</v>
      </c>
      <c r="AK46" s="39">
        <f>SUM(AB47:AB49)</f>
        <v>0</v>
      </c>
    </row>
    <row r="47" spans="1:43" ht="12.75">
      <c r="A47" s="4" t="s">
        <v>20</v>
      </c>
      <c r="B47" s="4"/>
      <c r="C47" s="4" t="s">
        <v>44</v>
      </c>
      <c r="D47" s="4" t="s">
        <v>86</v>
      </c>
      <c r="E47" s="4" t="s">
        <v>97</v>
      </c>
      <c r="F47" s="18">
        <v>99.455</v>
      </c>
      <c r="G47" s="18">
        <v>0</v>
      </c>
      <c r="H47" s="18">
        <f>F47*AE47</f>
        <v>0</v>
      </c>
      <c r="I47" s="18">
        <f>J47-H47</f>
        <v>0</v>
      </c>
      <c r="J47" s="18">
        <f>F47*G47</f>
        <v>0</v>
      </c>
      <c r="K47" s="18">
        <v>0</v>
      </c>
      <c r="L47" s="18">
        <f>F47*K47</f>
        <v>0</v>
      </c>
      <c r="M47" s="31" t="s">
        <v>114</v>
      </c>
      <c r="N47" s="31" t="s">
        <v>11</v>
      </c>
      <c r="O47" s="18">
        <f>IF(N47="5",I47,0)</f>
        <v>0</v>
      </c>
      <c r="Z47" s="18">
        <f>IF(AD47=0,J47,0)</f>
        <v>0</v>
      </c>
      <c r="AA47" s="18">
        <f>IF(AD47=15,J47,0)</f>
        <v>0</v>
      </c>
      <c r="AB47" s="18">
        <f>IF(AD47=21,J47,0)</f>
        <v>0</v>
      </c>
      <c r="AD47" s="36">
        <v>21</v>
      </c>
      <c r="AE47" s="36">
        <f>G47*0</f>
        <v>0</v>
      </c>
      <c r="AF47" s="36">
        <f>G47*(1-0)</f>
        <v>0</v>
      </c>
      <c r="AM47" s="36">
        <f>F47*AE47</f>
        <v>0</v>
      </c>
      <c r="AN47" s="36">
        <f>F47*AF47</f>
        <v>0</v>
      </c>
      <c r="AO47" s="37" t="s">
        <v>133</v>
      </c>
      <c r="AP47" s="37" t="s">
        <v>136</v>
      </c>
      <c r="AQ47" s="28" t="s">
        <v>137</v>
      </c>
    </row>
    <row r="48" spans="4:6" ht="12.75">
      <c r="D48" s="16" t="s">
        <v>87</v>
      </c>
      <c r="F48" s="19">
        <v>99.455</v>
      </c>
    </row>
    <row r="49" spans="1:43" ht="12.75">
      <c r="A49" s="7" t="s">
        <v>21</v>
      </c>
      <c r="B49" s="7"/>
      <c r="C49" s="7" t="s">
        <v>45</v>
      </c>
      <c r="D49" s="7" t="s">
        <v>88</v>
      </c>
      <c r="E49" s="7" t="s">
        <v>97</v>
      </c>
      <c r="F49" s="21">
        <v>99.455</v>
      </c>
      <c r="G49" s="21">
        <v>0</v>
      </c>
      <c r="H49" s="21">
        <f>F49*AE49</f>
        <v>0</v>
      </c>
      <c r="I49" s="21">
        <f>J49-H49</f>
        <v>0</v>
      </c>
      <c r="J49" s="21">
        <f>F49*G49</f>
        <v>0</v>
      </c>
      <c r="K49" s="21">
        <v>0</v>
      </c>
      <c r="L49" s="21">
        <f>F49*K49</f>
        <v>0</v>
      </c>
      <c r="M49" s="33" t="s">
        <v>114</v>
      </c>
      <c r="N49" s="31" t="s">
        <v>11</v>
      </c>
      <c r="O49" s="18">
        <f>IF(N49="5",I49,0)</f>
        <v>0</v>
      </c>
      <c r="Z49" s="18">
        <f>IF(AD49=0,J49,0)</f>
        <v>0</v>
      </c>
      <c r="AA49" s="18">
        <f>IF(AD49=15,J49,0)</f>
        <v>0</v>
      </c>
      <c r="AB49" s="18">
        <f>IF(AD49=21,J49,0)</f>
        <v>0</v>
      </c>
      <c r="AD49" s="36">
        <v>21</v>
      </c>
      <c r="AE49" s="36">
        <f>G49*0.00923317683881064</f>
        <v>0</v>
      </c>
      <c r="AF49" s="36">
        <f>G49*(1-0.00923317683881064)</f>
        <v>0</v>
      </c>
      <c r="AM49" s="36">
        <f>F49*AE49</f>
        <v>0</v>
      </c>
      <c r="AN49" s="36">
        <f>F49*AF49</f>
        <v>0</v>
      </c>
      <c r="AO49" s="37" t="s">
        <v>133</v>
      </c>
      <c r="AP49" s="37" t="s">
        <v>136</v>
      </c>
      <c r="AQ49" s="28" t="s">
        <v>137</v>
      </c>
    </row>
    <row r="50" spans="1:28" ht="12.75">
      <c r="A50" s="8"/>
      <c r="B50" s="8"/>
      <c r="C50" s="8"/>
      <c r="D50" s="8"/>
      <c r="E50" s="8"/>
      <c r="F50" s="8"/>
      <c r="G50" s="8"/>
      <c r="H50" s="88" t="s">
        <v>103</v>
      </c>
      <c r="I50" s="89"/>
      <c r="J50" s="40">
        <f>J12+J23+J26+J30+J32+J34+J41+J46</f>
        <v>0</v>
      </c>
      <c r="K50" s="8"/>
      <c r="L50" s="8"/>
      <c r="M50" s="8"/>
      <c r="Z50" s="41">
        <f>SUM(Z13:Z49)</f>
        <v>0</v>
      </c>
      <c r="AA50" s="41">
        <f>SUM(AA13:AA49)</f>
        <v>0</v>
      </c>
      <c r="AB50" s="41">
        <f>SUM(AB13:AB49)</f>
        <v>0</v>
      </c>
    </row>
    <row r="51" ht="11.25" customHeight="1">
      <c r="A51" s="9" t="s">
        <v>22</v>
      </c>
    </row>
    <row r="52" spans="1:13" ht="409.6" customHeight="1" hidden="1">
      <c r="A52" s="73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</row>
  </sheetData>
  <mergeCells count="38">
    <mergeCell ref="A52:M52"/>
    <mergeCell ref="D32:G32"/>
    <mergeCell ref="D34:G34"/>
    <mergeCell ref="D41:G41"/>
    <mergeCell ref="D44:M44"/>
    <mergeCell ref="D46:G46"/>
    <mergeCell ref="H50:I50"/>
    <mergeCell ref="H10:J10"/>
    <mergeCell ref="K10:L10"/>
    <mergeCell ref="D12:G12"/>
    <mergeCell ref="D23:G23"/>
    <mergeCell ref="D26:G26"/>
    <mergeCell ref="D30:G30"/>
    <mergeCell ref="A8:C9"/>
    <mergeCell ref="D8:D9"/>
    <mergeCell ref="E8:F9"/>
    <mergeCell ref="G8:H9"/>
    <mergeCell ref="I8:I9"/>
    <mergeCell ref="J8:M9"/>
    <mergeCell ref="A6:C7"/>
    <mergeCell ref="D6:D7"/>
    <mergeCell ref="E6:F7"/>
    <mergeCell ref="G6:H7"/>
    <mergeCell ref="I6:I7"/>
    <mergeCell ref="J6:M7"/>
    <mergeCell ref="A4:C5"/>
    <mergeCell ref="D4:D5"/>
    <mergeCell ref="E4:F5"/>
    <mergeCell ref="G4:H5"/>
    <mergeCell ref="I4:I5"/>
    <mergeCell ref="J4:M5"/>
    <mergeCell ref="A1:M1"/>
    <mergeCell ref="A2:C3"/>
    <mergeCell ref="D2:D3"/>
    <mergeCell ref="E2:F3"/>
    <mergeCell ref="G2:H3"/>
    <mergeCell ref="I2:I3"/>
    <mergeCell ref="J2:M3"/>
  </mergeCells>
  <printOptions/>
  <pageMargins left="0.394" right="0.394" top="0.591" bottom="0.591" header="0.5" footer="0.5"/>
  <pageSetup fitToHeight="0" fitToWidth="1" horizontalDpi="600" verticalDpi="600" orientation="landscape" paperSize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/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95" customHeight="1">
      <c r="A1" s="59"/>
      <c r="B1" s="42"/>
      <c r="C1" s="90" t="s">
        <v>153</v>
      </c>
      <c r="D1" s="91"/>
      <c r="E1" s="91"/>
      <c r="F1" s="91"/>
      <c r="G1" s="91"/>
      <c r="H1" s="91"/>
      <c r="I1" s="91"/>
    </row>
    <row r="2" spans="1:10" ht="12.75">
      <c r="A2" s="62" t="s">
        <v>1</v>
      </c>
      <c r="B2" s="63"/>
      <c r="C2" s="66" t="s">
        <v>46</v>
      </c>
      <c r="D2" s="89"/>
      <c r="E2" s="69" t="s">
        <v>104</v>
      </c>
      <c r="F2" s="69"/>
      <c r="G2" s="63"/>
      <c r="H2" s="69" t="s">
        <v>178</v>
      </c>
      <c r="I2" s="92"/>
      <c r="J2" s="34"/>
    </row>
    <row r="3" spans="1:10" ht="12.75">
      <c r="A3" s="64"/>
      <c r="B3" s="65"/>
      <c r="C3" s="67"/>
      <c r="D3" s="67"/>
      <c r="E3" s="65"/>
      <c r="F3" s="65"/>
      <c r="G3" s="65"/>
      <c r="H3" s="65"/>
      <c r="I3" s="71"/>
      <c r="J3" s="34"/>
    </row>
    <row r="4" spans="1:10" ht="12.75">
      <c r="A4" s="72" t="s">
        <v>2</v>
      </c>
      <c r="B4" s="65"/>
      <c r="C4" s="73" t="s">
        <v>47</v>
      </c>
      <c r="D4" s="65"/>
      <c r="E4" s="73" t="s">
        <v>105</v>
      </c>
      <c r="F4" s="73"/>
      <c r="G4" s="65"/>
      <c r="H4" s="73" t="s">
        <v>178</v>
      </c>
      <c r="I4" s="93"/>
      <c r="J4" s="34"/>
    </row>
    <row r="5" spans="1:10" ht="12.75">
      <c r="A5" s="64"/>
      <c r="B5" s="65"/>
      <c r="C5" s="65"/>
      <c r="D5" s="65"/>
      <c r="E5" s="65"/>
      <c r="F5" s="65"/>
      <c r="G5" s="65"/>
      <c r="H5" s="65"/>
      <c r="I5" s="71"/>
      <c r="J5" s="34"/>
    </row>
    <row r="6" spans="1:10" ht="12.75">
      <c r="A6" s="72" t="s">
        <v>3</v>
      </c>
      <c r="B6" s="65"/>
      <c r="C6" s="73" t="s">
        <v>48</v>
      </c>
      <c r="D6" s="65"/>
      <c r="E6" s="73" t="s">
        <v>106</v>
      </c>
      <c r="F6" s="73"/>
      <c r="G6" s="65"/>
      <c r="H6" s="73" t="s">
        <v>178</v>
      </c>
      <c r="I6" s="93"/>
      <c r="J6" s="34"/>
    </row>
    <row r="7" spans="1:10" ht="12.75">
      <c r="A7" s="64"/>
      <c r="B7" s="65"/>
      <c r="C7" s="65"/>
      <c r="D7" s="65"/>
      <c r="E7" s="65"/>
      <c r="F7" s="65"/>
      <c r="G7" s="65"/>
      <c r="H7" s="65"/>
      <c r="I7" s="71"/>
      <c r="J7" s="34"/>
    </row>
    <row r="8" spans="1:10" ht="12.75">
      <c r="A8" s="72" t="s">
        <v>90</v>
      </c>
      <c r="B8" s="65"/>
      <c r="C8" s="74" t="s">
        <v>6</v>
      </c>
      <c r="D8" s="65"/>
      <c r="E8" s="73" t="s">
        <v>91</v>
      </c>
      <c r="F8" s="65"/>
      <c r="G8" s="65"/>
      <c r="H8" s="74" t="s">
        <v>179</v>
      </c>
      <c r="I8" s="93" t="s">
        <v>21</v>
      </c>
      <c r="J8" s="34"/>
    </row>
    <row r="9" spans="1:10" ht="12.75">
      <c r="A9" s="64"/>
      <c r="B9" s="65"/>
      <c r="C9" s="65"/>
      <c r="D9" s="65"/>
      <c r="E9" s="65"/>
      <c r="F9" s="65"/>
      <c r="G9" s="65"/>
      <c r="H9" s="65"/>
      <c r="I9" s="71"/>
      <c r="J9" s="34"/>
    </row>
    <row r="10" spans="1:10" ht="12.75">
      <c r="A10" s="72" t="s">
        <v>4</v>
      </c>
      <c r="B10" s="65"/>
      <c r="C10" s="73"/>
      <c r="D10" s="65"/>
      <c r="E10" s="73" t="s">
        <v>107</v>
      </c>
      <c r="F10" s="73" t="s">
        <v>109</v>
      </c>
      <c r="G10" s="65"/>
      <c r="H10" s="74" t="s">
        <v>180</v>
      </c>
      <c r="I10" s="96">
        <v>42622</v>
      </c>
      <c r="J10" s="34"/>
    </row>
    <row r="11" spans="1:10" ht="12.75">
      <c r="A11" s="94"/>
      <c r="B11" s="95"/>
      <c r="C11" s="95"/>
      <c r="D11" s="95"/>
      <c r="E11" s="95"/>
      <c r="F11" s="95"/>
      <c r="G11" s="95"/>
      <c r="H11" s="95"/>
      <c r="I11" s="97"/>
      <c r="J11" s="34"/>
    </row>
    <row r="12" spans="1:9" ht="23.45" customHeight="1">
      <c r="A12" s="98" t="s">
        <v>138</v>
      </c>
      <c r="B12" s="99"/>
      <c r="C12" s="99"/>
      <c r="D12" s="99"/>
      <c r="E12" s="99"/>
      <c r="F12" s="99"/>
      <c r="G12" s="99"/>
      <c r="H12" s="99"/>
      <c r="I12" s="99"/>
    </row>
    <row r="13" spans="1:10" ht="26.45" customHeight="1">
      <c r="A13" s="43" t="s">
        <v>139</v>
      </c>
      <c r="B13" s="100" t="s">
        <v>151</v>
      </c>
      <c r="C13" s="101"/>
      <c r="D13" s="43" t="s">
        <v>154</v>
      </c>
      <c r="E13" s="100" t="s">
        <v>163</v>
      </c>
      <c r="F13" s="101"/>
      <c r="G13" s="43" t="s">
        <v>164</v>
      </c>
      <c r="H13" s="100" t="s">
        <v>181</v>
      </c>
      <c r="I13" s="101"/>
      <c r="J13" s="34"/>
    </row>
    <row r="14" spans="1:10" ht="15.2" customHeight="1">
      <c r="A14" s="44" t="s">
        <v>140</v>
      </c>
      <c r="B14" s="48" t="s">
        <v>152</v>
      </c>
      <c r="C14" s="52">
        <f>SUM('Stavební rozpočet'!R12:R49)</f>
        <v>0</v>
      </c>
      <c r="D14" s="102" t="s">
        <v>155</v>
      </c>
      <c r="E14" s="103"/>
      <c r="F14" s="52">
        <v>0</v>
      </c>
      <c r="G14" s="102" t="s">
        <v>165</v>
      </c>
      <c r="H14" s="103"/>
      <c r="I14" s="52">
        <v>0</v>
      </c>
      <c r="J14" s="34"/>
    </row>
    <row r="15" spans="1:10" ht="15.2" customHeight="1">
      <c r="A15" s="45"/>
      <c r="B15" s="48" t="s">
        <v>108</v>
      </c>
      <c r="C15" s="52">
        <f>SUM('Stavební rozpočet'!S12:S49)</f>
        <v>0</v>
      </c>
      <c r="D15" s="102" t="s">
        <v>156</v>
      </c>
      <c r="E15" s="103"/>
      <c r="F15" s="52">
        <v>0</v>
      </c>
      <c r="G15" s="102" t="s">
        <v>166</v>
      </c>
      <c r="H15" s="103"/>
      <c r="I15" s="52">
        <v>0</v>
      </c>
      <c r="J15" s="34"/>
    </row>
    <row r="16" spans="1:10" ht="15.2" customHeight="1">
      <c r="A16" s="44" t="s">
        <v>141</v>
      </c>
      <c r="B16" s="48" t="s">
        <v>152</v>
      </c>
      <c r="C16" s="52">
        <f>SUM('Stavební rozpočet'!T12:T49)</f>
        <v>0</v>
      </c>
      <c r="D16" s="102" t="s">
        <v>157</v>
      </c>
      <c r="E16" s="103"/>
      <c r="F16" s="52">
        <v>0</v>
      </c>
      <c r="G16" s="102" t="s">
        <v>167</v>
      </c>
      <c r="H16" s="103"/>
      <c r="I16" s="52">
        <v>0</v>
      </c>
      <c r="J16" s="34"/>
    </row>
    <row r="17" spans="1:10" ht="15.2" customHeight="1">
      <c r="A17" s="45"/>
      <c r="B17" s="48" t="s">
        <v>108</v>
      </c>
      <c r="C17" s="52">
        <f>SUM('Stavební rozpočet'!U12:U49)</f>
        <v>0</v>
      </c>
      <c r="D17" s="102"/>
      <c r="E17" s="103"/>
      <c r="F17" s="53"/>
      <c r="G17" s="102" t="s">
        <v>168</v>
      </c>
      <c r="H17" s="103"/>
      <c r="I17" s="52">
        <v>0</v>
      </c>
      <c r="J17" s="34"/>
    </row>
    <row r="18" spans="1:10" ht="15.2" customHeight="1">
      <c r="A18" s="44" t="s">
        <v>142</v>
      </c>
      <c r="B18" s="48" t="s">
        <v>152</v>
      </c>
      <c r="C18" s="52">
        <f>SUM('Stavební rozpočet'!V12:V49)</f>
        <v>0</v>
      </c>
      <c r="D18" s="102"/>
      <c r="E18" s="103"/>
      <c r="F18" s="53"/>
      <c r="G18" s="102" t="s">
        <v>169</v>
      </c>
      <c r="H18" s="103"/>
      <c r="I18" s="52">
        <v>0</v>
      </c>
      <c r="J18" s="34"/>
    </row>
    <row r="19" spans="1:10" ht="15.2" customHeight="1">
      <c r="A19" s="45"/>
      <c r="B19" s="48" t="s">
        <v>108</v>
      </c>
      <c r="C19" s="52">
        <f>SUM('Stavební rozpočet'!W12:W49)</f>
        <v>0</v>
      </c>
      <c r="D19" s="102"/>
      <c r="E19" s="103"/>
      <c r="F19" s="53"/>
      <c r="G19" s="102" t="s">
        <v>170</v>
      </c>
      <c r="H19" s="103"/>
      <c r="I19" s="52">
        <v>0</v>
      </c>
      <c r="J19" s="34"/>
    </row>
    <row r="20" spans="1:10" ht="15.2" customHeight="1">
      <c r="A20" s="104" t="s">
        <v>143</v>
      </c>
      <c r="B20" s="105"/>
      <c r="C20" s="52">
        <f>SUM('Stavební rozpočet'!X12:X49)</f>
        <v>0</v>
      </c>
      <c r="D20" s="102"/>
      <c r="E20" s="103"/>
      <c r="F20" s="53"/>
      <c r="G20" s="102"/>
      <c r="H20" s="103"/>
      <c r="I20" s="53"/>
      <c r="J20" s="34"/>
    </row>
    <row r="21" spans="1:10" ht="15.2" customHeight="1">
      <c r="A21" s="104" t="s">
        <v>144</v>
      </c>
      <c r="B21" s="105"/>
      <c r="C21" s="52">
        <f>SUM('Stavební rozpočet'!P12:P49)</f>
        <v>0</v>
      </c>
      <c r="D21" s="102"/>
      <c r="E21" s="103"/>
      <c r="F21" s="53"/>
      <c r="G21" s="102"/>
      <c r="H21" s="103"/>
      <c r="I21" s="53"/>
      <c r="J21" s="34"/>
    </row>
    <row r="22" spans="1:10" ht="16.7" customHeight="1">
      <c r="A22" s="104" t="s">
        <v>145</v>
      </c>
      <c r="B22" s="105"/>
      <c r="C22" s="52">
        <f>SUM(C14:C21)</f>
        <v>0</v>
      </c>
      <c r="D22" s="104" t="s">
        <v>158</v>
      </c>
      <c r="E22" s="105"/>
      <c r="F22" s="52">
        <f>SUM(F14:F21)</f>
        <v>0</v>
      </c>
      <c r="G22" s="104" t="s">
        <v>171</v>
      </c>
      <c r="H22" s="105"/>
      <c r="I22" s="52">
        <f>SUM(I14:I21)</f>
        <v>0</v>
      </c>
      <c r="J22" s="34"/>
    </row>
    <row r="23" spans="1:10" ht="15.2" customHeight="1">
      <c r="A23" s="8"/>
      <c r="B23" s="8"/>
      <c r="C23" s="50"/>
      <c r="D23" s="104" t="s">
        <v>159</v>
      </c>
      <c r="E23" s="105"/>
      <c r="F23" s="54">
        <v>0</v>
      </c>
      <c r="G23" s="104" t="s">
        <v>172</v>
      </c>
      <c r="H23" s="105"/>
      <c r="I23" s="52">
        <v>0</v>
      </c>
      <c r="J23" s="34"/>
    </row>
    <row r="24" spans="4:9" ht="15.2" customHeight="1">
      <c r="D24" s="8"/>
      <c r="E24" s="8"/>
      <c r="F24" s="55"/>
      <c r="G24" s="104" t="s">
        <v>173</v>
      </c>
      <c r="H24" s="105"/>
      <c r="I24" s="57"/>
    </row>
    <row r="25" spans="6:10" ht="15.2" customHeight="1">
      <c r="F25" s="56"/>
      <c r="G25" s="104" t="s">
        <v>174</v>
      </c>
      <c r="H25" s="105"/>
      <c r="I25" s="52">
        <v>0</v>
      </c>
      <c r="J25" s="34"/>
    </row>
    <row r="26" spans="1:9" ht="12.75">
      <c r="A26" s="42"/>
      <c r="B26" s="42"/>
      <c r="C26" s="42"/>
      <c r="G26" s="8"/>
      <c r="H26" s="8"/>
      <c r="I26" s="8"/>
    </row>
    <row r="27" spans="1:9" ht="15.2" customHeight="1">
      <c r="A27" s="106" t="s">
        <v>146</v>
      </c>
      <c r="B27" s="107"/>
      <c r="C27" s="58">
        <f>SUM('Stavební rozpočet'!Z12:Z49)</f>
        <v>0</v>
      </c>
      <c r="D27" s="51"/>
      <c r="E27" s="42"/>
      <c r="F27" s="42"/>
      <c r="G27" s="42"/>
      <c r="H27" s="42"/>
      <c r="I27" s="42"/>
    </row>
    <row r="28" spans="1:10" ht="15.2" customHeight="1">
      <c r="A28" s="106" t="s">
        <v>147</v>
      </c>
      <c r="B28" s="107"/>
      <c r="C28" s="58">
        <f>SUM('Stavební rozpočet'!AA12:AA49)</f>
        <v>0</v>
      </c>
      <c r="D28" s="106" t="s">
        <v>160</v>
      </c>
      <c r="E28" s="107"/>
      <c r="F28" s="58">
        <f>ROUND(C28*(15/100),2)</f>
        <v>0</v>
      </c>
      <c r="G28" s="106" t="s">
        <v>175</v>
      </c>
      <c r="H28" s="107"/>
      <c r="I28" s="58">
        <f>SUM(C27:C29)</f>
        <v>0</v>
      </c>
      <c r="J28" s="34"/>
    </row>
    <row r="29" spans="1:10" ht="15.2" customHeight="1">
      <c r="A29" s="106" t="s">
        <v>148</v>
      </c>
      <c r="B29" s="107"/>
      <c r="C29" s="58">
        <f>SUM('Stavební rozpočet'!AB12:AB49)+(F22+I22+F23+I23+I24+I25)</f>
        <v>0</v>
      </c>
      <c r="D29" s="106" t="s">
        <v>161</v>
      </c>
      <c r="E29" s="107"/>
      <c r="F29" s="58">
        <f>ROUND(C29*(21/100),2)</f>
        <v>0</v>
      </c>
      <c r="G29" s="106" t="s">
        <v>176</v>
      </c>
      <c r="H29" s="107"/>
      <c r="I29" s="58">
        <f>SUM(F28:F29)+I28</f>
        <v>0</v>
      </c>
      <c r="J29" s="34"/>
    </row>
    <row r="30" spans="1:9" ht="12.75">
      <c r="A30" s="46"/>
      <c r="B30" s="46"/>
      <c r="C30" s="46"/>
      <c r="D30" s="46"/>
      <c r="E30" s="46"/>
      <c r="F30" s="46"/>
      <c r="G30" s="46"/>
      <c r="H30" s="46"/>
      <c r="I30" s="46"/>
    </row>
    <row r="31" spans="1:10" ht="14.45" customHeight="1">
      <c r="A31" s="108" t="s">
        <v>149</v>
      </c>
      <c r="B31" s="109"/>
      <c r="C31" s="110"/>
      <c r="D31" s="108" t="s">
        <v>162</v>
      </c>
      <c r="E31" s="109"/>
      <c r="F31" s="110"/>
      <c r="G31" s="108" t="s">
        <v>177</v>
      </c>
      <c r="H31" s="109"/>
      <c r="I31" s="110"/>
      <c r="J31" s="35"/>
    </row>
    <row r="32" spans="1:10" ht="14.45" customHeight="1">
      <c r="A32" s="111"/>
      <c r="B32" s="112"/>
      <c r="C32" s="113"/>
      <c r="D32" s="111"/>
      <c r="E32" s="112"/>
      <c r="F32" s="113"/>
      <c r="G32" s="111"/>
      <c r="H32" s="112"/>
      <c r="I32" s="113"/>
      <c r="J32" s="35"/>
    </row>
    <row r="33" spans="1:10" ht="14.45" customHeight="1">
      <c r="A33" s="111"/>
      <c r="B33" s="112"/>
      <c r="C33" s="113"/>
      <c r="D33" s="111"/>
      <c r="E33" s="112"/>
      <c r="F33" s="113"/>
      <c r="G33" s="111"/>
      <c r="H33" s="112"/>
      <c r="I33" s="113"/>
      <c r="J33" s="35"/>
    </row>
    <row r="34" spans="1:10" ht="14.45" customHeight="1">
      <c r="A34" s="111"/>
      <c r="B34" s="112"/>
      <c r="C34" s="113"/>
      <c r="D34" s="111"/>
      <c r="E34" s="112"/>
      <c r="F34" s="113"/>
      <c r="G34" s="111"/>
      <c r="H34" s="112"/>
      <c r="I34" s="113"/>
      <c r="J34" s="35"/>
    </row>
    <row r="35" spans="1:10" ht="14.45" customHeight="1">
      <c r="A35" s="114" t="s">
        <v>150</v>
      </c>
      <c r="B35" s="115"/>
      <c r="C35" s="116"/>
      <c r="D35" s="114" t="s">
        <v>150</v>
      </c>
      <c r="E35" s="115"/>
      <c r="F35" s="116"/>
      <c r="G35" s="114" t="s">
        <v>150</v>
      </c>
      <c r="H35" s="115"/>
      <c r="I35" s="116"/>
      <c r="J35" s="35"/>
    </row>
    <row r="36" spans="1:9" ht="11.25" customHeight="1">
      <c r="A36" s="47" t="s">
        <v>22</v>
      </c>
      <c r="B36" s="49"/>
      <c r="C36" s="49"/>
      <c r="D36" s="49"/>
      <c r="E36" s="49"/>
      <c r="F36" s="49"/>
      <c r="G36" s="49"/>
      <c r="H36" s="49"/>
      <c r="I36" s="49"/>
    </row>
    <row r="37" spans="1:9" ht="409.6" customHeight="1" hidden="1">
      <c r="A37" s="73"/>
      <c r="B37" s="65"/>
      <c r="C37" s="65"/>
      <c r="D37" s="65"/>
      <c r="E37" s="65"/>
      <c r="F37" s="65"/>
      <c r="G37" s="65"/>
      <c r="H37" s="65"/>
      <c r="I37" s="65"/>
    </row>
  </sheetData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Novotná Eva</dc:creator>
  <cp:keywords/>
  <dc:description/>
  <cp:lastModifiedBy>enovotna</cp:lastModifiedBy>
  <dcterms:created xsi:type="dcterms:W3CDTF">2016-09-16T08:54:58Z</dcterms:created>
  <dcterms:modified xsi:type="dcterms:W3CDTF">2016-09-16T08:54:58Z</dcterms:modified>
  <cp:category/>
  <cp:version/>
  <cp:contentType/>
  <cp:contentStatus/>
</cp:coreProperties>
</file>