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calcId="125725"/>
</workbook>
</file>

<file path=xl/sharedStrings.xml><?xml version="1.0" encoding="utf-8"?>
<sst xmlns="http://schemas.openxmlformats.org/spreadsheetml/2006/main" count="312" uniqueCount="184">
  <si>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</si>
  <si>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</si>
  <si>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</si>
  <si>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</si>
  <si>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</si>
  <si>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</si>
  <si>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</si>
  <si>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</si>
  <si>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</si>
  <si>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</si>
  <si>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</si>
  <si>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</si>
  <si>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</si>
  <si>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</si>
  <si>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</si>
  <si>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</si>
  <si>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</si>
  <si>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</si>
  <si>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</si>
  <si>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</si>
  <si>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</si>
  <si>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</si>
  <si>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</si>
  <si>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</si>
  <si>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Poznámka:</t>
  </si>
  <si>
    <t>Objekt</t>
  </si>
  <si>
    <t>Kód</t>
  </si>
  <si>
    <t>113152111R00</t>
  </si>
  <si>
    <t>113106241R00</t>
  </si>
  <si>
    <t>113106231R00</t>
  </si>
  <si>
    <t>122202201R00</t>
  </si>
  <si>
    <t>162701105R00</t>
  </si>
  <si>
    <t>162702199R00</t>
  </si>
  <si>
    <t>18</t>
  </si>
  <si>
    <t>181201102R00</t>
  </si>
  <si>
    <t>56</t>
  </si>
  <si>
    <t>564851111R00</t>
  </si>
  <si>
    <t>567122114R00</t>
  </si>
  <si>
    <t>59</t>
  </si>
  <si>
    <t>596215020R00</t>
  </si>
  <si>
    <t>59245304</t>
  </si>
  <si>
    <t>596215040R00</t>
  </si>
  <si>
    <t>59245300</t>
  </si>
  <si>
    <t>91</t>
  </si>
  <si>
    <t>916561111RT2</t>
  </si>
  <si>
    <t>998223011R00</t>
  </si>
  <si>
    <t>S</t>
  </si>
  <si>
    <t>979990103R00</t>
  </si>
  <si>
    <t>979083117R00</t>
  </si>
  <si>
    <t>chodník Fügnerova</t>
  </si>
  <si>
    <t>Stavební úpravy</t>
  </si>
  <si>
    <t>Kostelec nad Orlicí</t>
  </si>
  <si>
    <t>Zkrácený popis</t>
  </si>
  <si>
    <t>Rozměry</t>
  </si>
  <si>
    <t>Přípravné a přidružené práce</t>
  </si>
  <si>
    <t>Odstranění podkladu z kameniva těženého</t>
  </si>
  <si>
    <t>146,475*0,10+9,664*0,04</t>
  </si>
  <si>
    <t>Rozebrání ploch z betonových panelů</t>
  </si>
  <si>
    <t>97,65*1,50</t>
  </si>
  <si>
    <t>Rozebrání dlažeb ze zámkové dlažby v kamenivu</t>
  </si>
  <si>
    <t>6,04*1,60</t>
  </si>
  <si>
    <t>Odkopávky a prokopávky</t>
  </si>
  <si>
    <t>Odkopávky pro silnice v hor. 3 do 100 m3</t>
  </si>
  <si>
    <t>146,475*0,06+9,664*0,15</t>
  </si>
  <si>
    <t>Přemístění výkopku</t>
  </si>
  <si>
    <t>Vodorovné přemístění výkopku z hor.1-4 do 10000 m</t>
  </si>
  <si>
    <t>15,03+10,2381</t>
  </si>
  <si>
    <t>Poplatek za skládku zeminy</t>
  </si>
  <si>
    <t>Povrchové úpravy terénu</t>
  </si>
  <si>
    <t>Úprava pláně v násypech v hor. 1-4, se zhutněním</t>
  </si>
  <si>
    <t>146,475+9,664</t>
  </si>
  <si>
    <t>Podkladní vrstvy komunikací a zpevněných ploch</t>
  </si>
  <si>
    <t>Podklad ze štěrkodrti po zhutnění tloušťky 15 cm,nos.vrstva kam.2-5+4-8 mm(1:1)</t>
  </si>
  <si>
    <t>Podklad z kameniva zpev.cementem KZC 1 tl.15 cm</t>
  </si>
  <si>
    <t>Dlažby a předlažby pozemních komunikací a zpevněných ploch</t>
  </si>
  <si>
    <t>Kladení zámkové dlažby tl. 6 cm do drtě tl. 3 cm</t>
  </si>
  <si>
    <t>Dlažba BEST BEATON přírodní  20x16,5x6</t>
  </si>
  <si>
    <t>146,475</t>
  </si>
  <si>
    <t>;ztratné 1%; 1,46475</t>
  </si>
  <si>
    <t>Kladení zámkové dlažby tl. 8 cm do drtě tl. 4 cm</t>
  </si>
  <si>
    <t>Dlažba BEST BEATON přírodní  20x16,5x8</t>
  </si>
  <si>
    <t>9,664</t>
  </si>
  <si>
    <t>;ztratné 1%; 0,09664</t>
  </si>
  <si>
    <t>Doplňující konstrukce a práce na pozemních komunikacích a zpevněných plochách</t>
  </si>
  <si>
    <t>Osazení záhon.obrubníků do lože z C 12/15 s opěrou</t>
  </si>
  <si>
    <t>cena včetně dodávky obrubníků</t>
  </si>
  <si>
    <t>Přesun hmot, pozemní komunikace, kryt dlážděný</t>
  </si>
  <si>
    <t>Přesuny sutí</t>
  </si>
  <si>
    <t>Poplatek za skládku suti - beton</t>
  </si>
  <si>
    <t>26,95+2,17</t>
  </si>
  <si>
    <t>Vodorovné přemístění suti na skládku do 6000 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</si>
  <si>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</si>
  <si>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</si>
  <si>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</si>
  <si>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</si>
  <si>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</si>
  <si>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</si>
  <si>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</si>
  <si>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</si>
  <si>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</si>
  <si>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</si>
  <si>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</si>
  <si>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</si>
  <si>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</si>
  <si>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</si>
  <si>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</si>
  <si>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</si>
  <si>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</si>
  <si>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</si>
  <si>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</si>
  <si>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</si>
  <si>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</si>
  <si>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</si>
  <si>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</si>
  <si>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</si>
  <si>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</si>
  <si>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 / 2016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</si>
  <si>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</si>
  <si>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</si>
  <si>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</si>
  <si>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</si>
  <si>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</si>
  <si>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</si>
  <si>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</si>
  <si>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</si>
  <si>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</si>
  <si>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</si>
  <si>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</si>
  <si>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</si>
  <si>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</si>
  <si>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</si>
  <si>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18_</t>
  </si>
  <si>
    <t>56_</t>
  </si>
  <si>
    <t>59_</t>
  </si>
  <si>
    <t>91_</t>
  </si>
  <si>
    <t>S_</t>
  </si>
  <si>
    <t>1_</t>
  </si>
  <si>
    <t>5_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</si>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</sst>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0"/>
      <name val="Arial"/>
      <family val="2"/>
    </font>
    <font>
      <i/>
      <sz val="10"/>
      <color indexed="63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2" fillId="3" borderId="17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49" fontId="14" fillId="0" borderId="17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3" fillId="3" borderId="25" xfId="0" applyNumberFormat="1" applyFont="1" applyFill="1" applyBorder="1" applyAlignment="1" applyProtection="1">
      <alignment horizontal="left" vertical="center"/>
      <protection/>
    </xf>
    <xf numFmtId="0" fontId="13" fillId="3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tabSelected="1" workbookViewId="0" topLeftCell="A13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3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11.57421875" style="0" hidden="1" customWidth="1"/>
    <col min="15" max="47" width="12.140625" style="0" hidden="1" customWidth="1"/>
  </cols>
  <sheetData>
    <row r="1" spans="1:13" ht="72.9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2.75">
      <c r="A2" s="62" t="s">
        <v>1</v>
      </c>
      <c r="B2" s="63"/>
      <c r="C2" s="63"/>
      <c r="D2" s="66" t="s">
        <v>49</v>
      </c>
      <c r="E2" s="68" t="s">
        <v>91</v>
      </c>
      <c r="F2" s="63"/>
      <c r="G2" s="68"/>
      <c r="H2" s="63"/>
      <c r="I2" s="69" t="s">
        <v>106</v>
      </c>
      <c r="J2" s="69"/>
      <c r="K2" s="63"/>
      <c r="L2" s="63"/>
      <c r="M2" s="70"/>
      <c r="N2" s="34"/>
    </row>
    <row r="3" spans="1:14" ht="12.75">
      <c r="A3" s="64"/>
      <c r="B3" s="65"/>
      <c r="C3" s="65"/>
      <c r="D3" s="67"/>
      <c r="E3" s="65"/>
      <c r="F3" s="65"/>
      <c r="G3" s="65"/>
      <c r="H3" s="65"/>
      <c r="I3" s="65"/>
      <c r="J3" s="65"/>
      <c r="K3" s="65"/>
      <c r="L3" s="65"/>
      <c r="M3" s="71"/>
      <c r="N3" s="34"/>
    </row>
    <row r="4" spans="1:14" ht="12.75">
      <c r="A4" s="72" t="s">
        <v>2</v>
      </c>
      <c r="B4" s="65"/>
      <c r="C4" s="65"/>
      <c r="D4" s="73" t="s">
        <v>50</v>
      </c>
      <c r="E4" s="74" t="s">
        <v>92</v>
      </c>
      <c r="F4" s="65"/>
      <c r="G4" s="74" t="s">
        <v>6</v>
      </c>
      <c r="H4" s="65"/>
      <c r="I4" s="73" t="s">
        <v>107</v>
      </c>
      <c r="J4" s="73"/>
      <c r="K4" s="65"/>
      <c r="L4" s="65"/>
      <c r="M4" s="71"/>
      <c r="N4" s="34"/>
    </row>
    <row r="5" spans="1:14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1"/>
      <c r="N5" s="34"/>
    </row>
    <row r="6" spans="1:14" ht="12.75">
      <c r="A6" s="72" t="s">
        <v>3</v>
      </c>
      <c r="B6" s="65"/>
      <c r="C6" s="65"/>
      <c r="D6" s="73" t="s">
        <v>51</v>
      </c>
      <c r="E6" s="74" t="s">
        <v>93</v>
      </c>
      <c r="F6" s="65"/>
      <c r="G6" s="65"/>
      <c r="H6" s="65"/>
      <c r="I6" s="73" t="s">
        <v>108</v>
      </c>
      <c r="J6" s="73"/>
      <c r="K6" s="65"/>
      <c r="L6" s="65"/>
      <c r="M6" s="71"/>
      <c r="N6" s="34"/>
    </row>
    <row r="7" spans="1:14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1"/>
      <c r="N7" s="34"/>
    </row>
    <row r="8" spans="1:14" ht="12.75">
      <c r="A8" s="72" t="s">
        <v>4</v>
      </c>
      <c r="B8" s="65"/>
      <c r="C8" s="65"/>
      <c r="D8" s="73"/>
      <c r="E8" s="74" t="s">
        <v>94</v>
      </c>
      <c r="F8" s="65"/>
      <c r="G8" s="77">
        <v>42551</v>
      </c>
      <c r="H8" s="65"/>
      <c r="I8" s="73" t="s">
        <v>109</v>
      </c>
      <c r="J8" s="73" t="s">
        <v>111</v>
      </c>
      <c r="K8" s="65"/>
      <c r="L8" s="65"/>
      <c r="M8" s="71"/>
      <c r="N8" s="34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8"/>
      <c r="N9" s="34"/>
    </row>
    <row r="10" spans="1:14" ht="12.75">
      <c r="A10" s="1" t="s">
        <v>5</v>
      </c>
      <c r="B10" s="10" t="s">
        <v>25</v>
      </c>
      <c r="C10" s="10" t="s">
        <v>26</v>
      </c>
      <c r="D10" s="10" t="s">
        <v>52</v>
      </c>
      <c r="E10" s="10" t="s">
        <v>95</v>
      </c>
      <c r="F10" s="17" t="s">
        <v>100</v>
      </c>
      <c r="G10" s="22" t="s">
        <v>101</v>
      </c>
      <c r="H10" s="79" t="s">
        <v>103</v>
      </c>
      <c r="I10" s="80"/>
      <c r="J10" s="81"/>
      <c r="K10" s="79" t="s">
        <v>113</v>
      </c>
      <c r="L10" s="81"/>
      <c r="M10" s="29" t="s">
        <v>114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5" t="s">
        <v>53</v>
      </c>
      <c r="E11" s="11" t="s">
        <v>6</v>
      </c>
      <c r="F11" s="11" t="s">
        <v>6</v>
      </c>
      <c r="G11" s="23" t="s">
        <v>102</v>
      </c>
      <c r="H11" s="24" t="s">
        <v>104</v>
      </c>
      <c r="I11" s="25" t="s">
        <v>110</v>
      </c>
      <c r="J11" s="26" t="s">
        <v>112</v>
      </c>
      <c r="K11" s="24" t="s">
        <v>101</v>
      </c>
      <c r="L11" s="26" t="s">
        <v>112</v>
      </c>
      <c r="M11" s="30" t="s">
        <v>115</v>
      </c>
      <c r="N11" s="35"/>
      <c r="P11" s="28" t="s">
        <v>118</v>
      </c>
      <c r="Q11" s="28" t="s">
        <v>119</v>
      </c>
      <c r="R11" s="28" t="s">
        <v>121</v>
      </c>
      <c r="S11" s="28" t="s">
        <v>122</v>
      </c>
      <c r="T11" s="28" t="s">
        <v>123</v>
      </c>
      <c r="U11" s="28" t="s">
        <v>124</v>
      </c>
      <c r="V11" s="28" t="s">
        <v>125</v>
      </c>
      <c r="W11" s="28" t="s">
        <v>126</v>
      </c>
      <c r="X11" s="28" t="s">
        <v>127</v>
      </c>
    </row>
    <row r="12" spans="1:37" ht="12.75">
      <c r="A12" s="3"/>
      <c r="B12" s="12"/>
      <c r="C12" s="12" t="s">
        <v>17</v>
      </c>
      <c r="D12" s="82" t="s">
        <v>54</v>
      </c>
      <c r="E12" s="83"/>
      <c r="F12" s="83"/>
      <c r="G12" s="83"/>
      <c r="H12" s="38">
        <f>SUM(H13:H17)</f>
        <v>0</v>
      </c>
      <c r="I12" s="38">
        <f>SUM(I13:I17)</f>
        <v>0</v>
      </c>
      <c r="J12" s="38">
        <f>H12+I12</f>
        <v>0</v>
      </c>
      <c r="K12" s="27"/>
      <c r="L12" s="38">
        <f>SUM(L13:L17)</f>
        <v>53.180296</v>
      </c>
      <c r="M12" s="27"/>
      <c r="P12" s="39">
        <f>IF(Q12="PR",J12,SUM(O13:O17))</f>
        <v>0</v>
      </c>
      <c r="Q12" s="28" t="s">
        <v>120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28"/>
      <c r="AI12" s="39">
        <f>SUM(Z13:Z17)</f>
        <v>0</v>
      </c>
      <c r="AJ12" s="39">
        <f>SUM(AA13:AA17)</f>
        <v>0</v>
      </c>
      <c r="AK12" s="39">
        <f>SUM(AB13:AB17)</f>
        <v>0</v>
      </c>
    </row>
    <row r="13" spans="1:43" ht="12.75">
      <c r="A13" s="4" t="s">
        <v>7</v>
      </c>
      <c r="B13" s="4"/>
      <c r="C13" s="4" t="s">
        <v>27</v>
      </c>
      <c r="D13" s="4" t="s">
        <v>55</v>
      </c>
      <c r="E13" s="4" t="s">
        <v>96</v>
      </c>
      <c r="F13" s="18">
        <v>15.03406</v>
      </c>
      <c r="G13" s="18">
        <v>0</v>
      </c>
      <c r="H13" s="18">
        <f>F13*AE13</f>
        <v>0</v>
      </c>
      <c r="I13" s="18">
        <f>J13-H13</f>
        <v>0</v>
      </c>
      <c r="J13" s="18">
        <f>F13*G13</f>
        <v>0</v>
      </c>
      <c r="K13" s="18">
        <v>1.6</v>
      </c>
      <c r="L13" s="18">
        <f>F13*K13</f>
        <v>24.054496</v>
      </c>
      <c r="M13" s="31" t="s">
        <v>116</v>
      </c>
      <c r="N13" s="31" t="s">
        <v>7</v>
      </c>
      <c r="O13" s="18">
        <f>IF(N13="5",I13,0)</f>
        <v>0</v>
      </c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M13" s="36">
        <f>F13*AE13</f>
        <v>0</v>
      </c>
      <c r="AN13" s="36">
        <f>F13*AF13</f>
        <v>0</v>
      </c>
      <c r="AO13" s="37" t="s">
        <v>128</v>
      </c>
      <c r="AP13" s="37" t="s">
        <v>136</v>
      </c>
      <c r="AQ13" s="28" t="s">
        <v>139</v>
      </c>
    </row>
    <row r="14" spans="4:6" ht="12.75">
      <c r="D14" s="16" t="s">
        <v>56</v>
      </c>
      <c r="F14" s="19">
        <v>15.03406</v>
      </c>
    </row>
    <row r="15" spans="1:43" ht="12.75">
      <c r="A15" s="4" t="s">
        <v>8</v>
      </c>
      <c r="B15" s="4"/>
      <c r="C15" s="4" t="s">
        <v>28</v>
      </c>
      <c r="D15" s="4" t="s">
        <v>57</v>
      </c>
      <c r="E15" s="4" t="s">
        <v>97</v>
      </c>
      <c r="F15" s="18">
        <v>146.475</v>
      </c>
      <c r="G15" s="18">
        <v>0</v>
      </c>
      <c r="H15" s="18">
        <f>F15*AE15</f>
        <v>0</v>
      </c>
      <c r="I15" s="18">
        <f>J15-H15</f>
        <v>0</v>
      </c>
      <c r="J15" s="18">
        <f>F15*G15</f>
        <v>0</v>
      </c>
      <c r="K15" s="18">
        <v>0.184</v>
      </c>
      <c r="L15" s="18">
        <f>F15*K15</f>
        <v>26.9514</v>
      </c>
      <c r="M15" s="31" t="s">
        <v>116</v>
      </c>
      <c r="N15" s="31" t="s">
        <v>7</v>
      </c>
      <c r="O15" s="18">
        <f>IF(N15="5",I15,0)</f>
        <v>0</v>
      </c>
      <c r="Z15" s="18">
        <f>IF(AD15=0,J15,0)</f>
        <v>0</v>
      </c>
      <c r="AA15" s="18">
        <f>IF(AD15=15,J15,0)</f>
        <v>0</v>
      </c>
      <c r="AB15" s="18">
        <f>IF(AD15=21,J15,0)</f>
        <v>0</v>
      </c>
      <c r="AD15" s="36">
        <v>21</v>
      </c>
      <c r="AE15" s="36">
        <f>G15*0</f>
        <v>0</v>
      </c>
      <c r="AF15" s="36">
        <f>G15*(1-0)</f>
        <v>0</v>
      </c>
      <c r="AM15" s="36">
        <f>F15*AE15</f>
        <v>0</v>
      </c>
      <c r="AN15" s="36">
        <f>F15*AF15</f>
        <v>0</v>
      </c>
      <c r="AO15" s="37" t="s">
        <v>128</v>
      </c>
      <c r="AP15" s="37" t="s">
        <v>136</v>
      </c>
      <c r="AQ15" s="28" t="s">
        <v>139</v>
      </c>
    </row>
    <row r="16" spans="4:6" ht="12.75">
      <c r="D16" s="16" t="s">
        <v>58</v>
      </c>
      <c r="F16" s="19">
        <v>146.475</v>
      </c>
    </row>
    <row r="17" spans="1:43" ht="12.75">
      <c r="A17" s="4" t="s">
        <v>9</v>
      </c>
      <c r="B17" s="4"/>
      <c r="C17" s="4" t="s">
        <v>29</v>
      </c>
      <c r="D17" s="4" t="s">
        <v>59</v>
      </c>
      <c r="E17" s="4" t="s">
        <v>97</v>
      </c>
      <c r="F17" s="18">
        <v>9.664</v>
      </c>
      <c r="G17" s="18">
        <v>0</v>
      </c>
      <c r="H17" s="18">
        <f>F17*AE17</f>
        <v>0</v>
      </c>
      <c r="I17" s="18">
        <f>J17-H17</f>
        <v>0</v>
      </c>
      <c r="J17" s="18">
        <f>F17*G17</f>
        <v>0</v>
      </c>
      <c r="K17" s="18">
        <v>0.225</v>
      </c>
      <c r="L17" s="18">
        <f>F17*K17</f>
        <v>2.1744</v>
      </c>
      <c r="M17" s="31" t="s">
        <v>116</v>
      </c>
      <c r="N17" s="31" t="s">
        <v>7</v>
      </c>
      <c r="O17" s="18">
        <f>IF(N17="5",I17,0)</f>
        <v>0</v>
      </c>
      <c r="Z17" s="18">
        <f>IF(AD17=0,J17,0)</f>
        <v>0</v>
      </c>
      <c r="AA17" s="18">
        <f>IF(AD17=15,J17,0)</f>
        <v>0</v>
      </c>
      <c r="AB17" s="18">
        <f>IF(AD17=21,J17,0)</f>
        <v>0</v>
      </c>
      <c r="AD17" s="36">
        <v>21</v>
      </c>
      <c r="AE17" s="36">
        <f>G17*0</f>
        <v>0</v>
      </c>
      <c r="AF17" s="36">
        <f>G17*(1-0)</f>
        <v>0</v>
      </c>
      <c r="AM17" s="36">
        <f>F17*AE17</f>
        <v>0</v>
      </c>
      <c r="AN17" s="36">
        <f>F17*AF17</f>
        <v>0</v>
      </c>
      <c r="AO17" s="37" t="s">
        <v>128</v>
      </c>
      <c r="AP17" s="37" t="s">
        <v>136</v>
      </c>
      <c r="AQ17" s="28" t="s">
        <v>139</v>
      </c>
    </row>
    <row r="18" spans="4:6" ht="12.75">
      <c r="D18" s="16" t="s">
        <v>60</v>
      </c>
      <c r="F18" s="19">
        <v>9.664</v>
      </c>
    </row>
    <row r="19" spans="1:37" ht="12.75">
      <c r="A19" s="5"/>
      <c r="B19" s="13"/>
      <c r="C19" s="13" t="s">
        <v>18</v>
      </c>
      <c r="D19" s="84" t="s">
        <v>61</v>
      </c>
      <c r="E19" s="85"/>
      <c r="F19" s="85"/>
      <c r="G19" s="85"/>
      <c r="H19" s="39">
        <f>SUM(H20:H20)</f>
        <v>0</v>
      </c>
      <c r="I19" s="39">
        <f>SUM(I20:I20)</f>
        <v>0</v>
      </c>
      <c r="J19" s="39">
        <f>H19+I19</f>
        <v>0</v>
      </c>
      <c r="K19" s="28"/>
      <c r="L19" s="39">
        <f>SUM(L20:L20)</f>
        <v>0</v>
      </c>
      <c r="M19" s="28"/>
      <c r="P19" s="39">
        <f>IF(Q19="PR",J19,SUM(O20:O20))</f>
        <v>0</v>
      </c>
      <c r="Q19" s="28" t="s">
        <v>120</v>
      </c>
      <c r="R19" s="39">
        <f>IF(Q19="HS",H19,0)</f>
        <v>0</v>
      </c>
      <c r="S19" s="39">
        <f>IF(Q19="HS",I19-P19,0)</f>
        <v>0</v>
      </c>
      <c r="T19" s="39">
        <f>IF(Q19="PS",H19,0)</f>
        <v>0</v>
      </c>
      <c r="U19" s="39">
        <f>IF(Q19="PS",I19-P19,0)</f>
        <v>0</v>
      </c>
      <c r="V19" s="39">
        <f>IF(Q19="MP",H19,0)</f>
        <v>0</v>
      </c>
      <c r="W19" s="39">
        <f>IF(Q19="MP",I19-P19,0)</f>
        <v>0</v>
      </c>
      <c r="X19" s="39">
        <f>IF(Q19="OM",H19,0)</f>
        <v>0</v>
      </c>
      <c r="Y19" s="28"/>
      <c r="AI19" s="39">
        <f>SUM(Z20:Z20)</f>
        <v>0</v>
      </c>
      <c r="AJ19" s="39">
        <f>SUM(AA20:AA20)</f>
        <v>0</v>
      </c>
      <c r="AK19" s="39">
        <f>SUM(AB20:AB20)</f>
        <v>0</v>
      </c>
    </row>
    <row r="20" spans="1:43" ht="12.75">
      <c r="A20" s="4" t="s">
        <v>10</v>
      </c>
      <c r="B20" s="4"/>
      <c r="C20" s="4" t="s">
        <v>30</v>
      </c>
      <c r="D20" s="4" t="s">
        <v>62</v>
      </c>
      <c r="E20" s="4" t="s">
        <v>96</v>
      </c>
      <c r="F20" s="18">
        <v>10.2381</v>
      </c>
      <c r="G20" s="18">
        <v>0</v>
      </c>
      <c r="H20" s="18">
        <f>F20*AE20</f>
        <v>0</v>
      </c>
      <c r="I20" s="18">
        <f>J20-H20</f>
        <v>0</v>
      </c>
      <c r="J20" s="18">
        <f>F20*G20</f>
        <v>0</v>
      </c>
      <c r="K20" s="18">
        <v>0</v>
      </c>
      <c r="L20" s="18">
        <f>F20*K20</f>
        <v>0</v>
      </c>
      <c r="M20" s="31" t="s">
        <v>116</v>
      </c>
      <c r="N20" s="31" t="s">
        <v>7</v>
      </c>
      <c r="O20" s="18">
        <f>IF(N20="5",I20,0)</f>
        <v>0</v>
      </c>
      <c r="Z20" s="18">
        <f>IF(AD20=0,J20,0)</f>
        <v>0</v>
      </c>
      <c r="AA20" s="18">
        <f>IF(AD20=15,J20,0)</f>
        <v>0</v>
      </c>
      <c r="AB20" s="18">
        <f>IF(AD20=21,J20,0)</f>
        <v>0</v>
      </c>
      <c r="AD20" s="36">
        <v>21</v>
      </c>
      <c r="AE20" s="36">
        <f>G20*0</f>
        <v>0</v>
      </c>
      <c r="AF20" s="36">
        <f>G20*(1-0)</f>
        <v>0</v>
      </c>
      <c r="AM20" s="36">
        <f>F20*AE20</f>
        <v>0</v>
      </c>
      <c r="AN20" s="36">
        <f>F20*AF20</f>
        <v>0</v>
      </c>
      <c r="AO20" s="37" t="s">
        <v>129</v>
      </c>
      <c r="AP20" s="37" t="s">
        <v>136</v>
      </c>
      <c r="AQ20" s="28" t="s">
        <v>139</v>
      </c>
    </row>
    <row r="21" spans="4:6" ht="12.75">
      <c r="D21" s="16" t="s">
        <v>63</v>
      </c>
      <c r="F21" s="19">
        <v>10.2381</v>
      </c>
    </row>
    <row r="22" spans="1:37" ht="12.75">
      <c r="A22" s="5"/>
      <c r="B22" s="13"/>
      <c r="C22" s="13" t="s">
        <v>22</v>
      </c>
      <c r="D22" s="84" t="s">
        <v>64</v>
      </c>
      <c r="E22" s="85"/>
      <c r="F22" s="85"/>
      <c r="G22" s="85"/>
      <c r="H22" s="39">
        <f>SUM(H23:H25)</f>
        <v>0</v>
      </c>
      <c r="I22" s="39">
        <f>SUM(I23:I25)</f>
        <v>0</v>
      </c>
      <c r="J22" s="39">
        <f>H22+I22</f>
        <v>0</v>
      </c>
      <c r="K22" s="28"/>
      <c r="L22" s="39">
        <f>SUM(L23:L25)</f>
        <v>0</v>
      </c>
      <c r="M22" s="28"/>
      <c r="P22" s="39">
        <f>IF(Q22="PR",J22,SUM(O23:O25))</f>
        <v>0</v>
      </c>
      <c r="Q22" s="28" t="s">
        <v>120</v>
      </c>
      <c r="R22" s="39">
        <f>IF(Q22="HS",H22,0)</f>
        <v>0</v>
      </c>
      <c r="S22" s="39">
        <f>IF(Q22="HS",I22-P22,0)</f>
        <v>0</v>
      </c>
      <c r="T22" s="39">
        <f>IF(Q22="PS",H22,0)</f>
        <v>0</v>
      </c>
      <c r="U22" s="39">
        <f>IF(Q22="PS",I22-P22,0)</f>
        <v>0</v>
      </c>
      <c r="V22" s="39">
        <f>IF(Q22="MP",H22,0)</f>
        <v>0</v>
      </c>
      <c r="W22" s="39">
        <f>IF(Q22="MP",I22-P22,0)</f>
        <v>0</v>
      </c>
      <c r="X22" s="39">
        <f>IF(Q22="OM",H22,0)</f>
        <v>0</v>
      </c>
      <c r="Y22" s="28"/>
      <c r="AI22" s="39">
        <f>SUM(Z23:Z25)</f>
        <v>0</v>
      </c>
      <c r="AJ22" s="39">
        <f>SUM(AA23:AA25)</f>
        <v>0</v>
      </c>
      <c r="AK22" s="39">
        <f>SUM(AB23:AB25)</f>
        <v>0</v>
      </c>
    </row>
    <row r="23" spans="1:43" ht="12.75">
      <c r="A23" s="4" t="s">
        <v>11</v>
      </c>
      <c r="B23" s="4"/>
      <c r="C23" s="4" t="s">
        <v>31</v>
      </c>
      <c r="D23" s="4" t="s">
        <v>65</v>
      </c>
      <c r="E23" s="4" t="s">
        <v>96</v>
      </c>
      <c r="F23" s="18">
        <v>25.2681</v>
      </c>
      <c r="G23" s="18">
        <v>0</v>
      </c>
      <c r="H23" s="18">
        <f>F23*AE23</f>
        <v>0</v>
      </c>
      <c r="I23" s="18">
        <f>J23-H23</f>
        <v>0</v>
      </c>
      <c r="J23" s="18">
        <f>F23*G23</f>
        <v>0</v>
      </c>
      <c r="K23" s="18">
        <v>0</v>
      </c>
      <c r="L23" s="18">
        <f>F23*K23</f>
        <v>0</v>
      </c>
      <c r="M23" s="31" t="s">
        <v>116</v>
      </c>
      <c r="N23" s="31" t="s">
        <v>7</v>
      </c>
      <c r="O23" s="18">
        <f>IF(N23="5",I23,0)</f>
        <v>0</v>
      </c>
      <c r="Z23" s="18">
        <f>IF(AD23=0,J23,0)</f>
        <v>0</v>
      </c>
      <c r="AA23" s="18">
        <f>IF(AD23=15,J23,0)</f>
        <v>0</v>
      </c>
      <c r="AB23" s="18">
        <f>IF(AD23=21,J23,0)</f>
        <v>0</v>
      </c>
      <c r="AD23" s="36">
        <v>21</v>
      </c>
      <c r="AE23" s="36">
        <f>G23*0</f>
        <v>0</v>
      </c>
      <c r="AF23" s="36">
        <f>G23*(1-0)</f>
        <v>0</v>
      </c>
      <c r="AM23" s="36">
        <f>F23*AE23</f>
        <v>0</v>
      </c>
      <c r="AN23" s="36">
        <f>F23*AF23</f>
        <v>0</v>
      </c>
      <c r="AO23" s="37" t="s">
        <v>130</v>
      </c>
      <c r="AP23" s="37" t="s">
        <v>136</v>
      </c>
      <c r="AQ23" s="28" t="s">
        <v>139</v>
      </c>
    </row>
    <row r="24" spans="4:6" ht="12.75">
      <c r="D24" s="16" t="s">
        <v>66</v>
      </c>
      <c r="F24" s="19">
        <v>25.2681</v>
      </c>
    </row>
    <row r="25" spans="1:43" ht="12.75">
      <c r="A25" s="4" t="s">
        <v>12</v>
      </c>
      <c r="B25" s="4"/>
      <c r="C25" s="4" t="s">
        <v>32</v>
      </c>
      <c r="D25" s="4" t="s">
        <v>67</v>
      </c>
      <c r="E25" s="4" t="s">
        <v>96</v>
      </c>
      <c r="F25" s="18">
        <v>25.2681</v>
      </c>
      <c r="G25" s="18">
        <v>0</v>
      </c>
      <c r="H25" s="18">
        <f>F25*AE25</f>
        <v>0</v>
      </c>
      <c r="I25" s="18">
        <f>J25-H25</f>
        <v>0</v>
      </c>
      <c r="J25" s="18">
        <f>F25*G25</f>
        <v>0</v>
      </c>
      <c r="K25" s="18">
        <v>0</v>
      </c>
      <c r="L25" s="18">
        <f>F25*K25</f>
        <v>0</v>
      </c>
      <c r="M25" s="31" t="s">
        <v>116</v>
      </c>
      <c r="N25" s="31" t="s">
        <v>7</v>
      </c>
      <c r="O25" s="18">
        <f>IF(N25="5",I25,0)</f>
        <v>0</v>
      </c>
      <c r="Z25" s="18">
        <f>IF(AD25=0,J25,0)</f>
        <v>0</v>
      </c>
      <c r="AA25" s="18">
        <f>IF(AD25=15,J25,0)</f>
        <v>0</v>
      </c>
      <c r="AB25" s="18">
        <f>IF(AD25=21,J25,0)</f>
        <v>0</v>
      </c>
      <c r="AD25" s="36">
        <v>21</v>
      </c>
      <c r="AE25" s="36">
        <f>G25*0</f>
        <v>0</v>
      </c>
      <c r="AF25" s="36">
        <f>G25*(1-0)</f>
        <v>0</v>
      </c>
      <c r="AM25" s="36">
        <f>F25*AE25</f>
        <v>0</v>
      </c>
      <c r="AN25" s="36">
        <f>F25*AF25</f>
        <v>0</v>
      </c>
      <c r="AO25" s="37" t="s">
        <v>130</v>
      </c>
      <c r="AP25" s="37" t="s">
        <v>136</v>
      </c>
      <c r="AQ25" s="28" t="s">
        <v>139</v>
      </c>
    </row>
    <row r="26" spans="1:37" ht="12.75">
      <c r="A26" s="5"/>
      <c r="B26" s="13"/>
      <c r="C26" s="13" t="s">
        <v>33</v>
      </c>
      <c r="D26" s="84" t="s">
        <v>68</v>
      </c>
      <c r="E26" s="85"/>
      <c r="F26" s="85"/>
      <c r="G26" s="85"/>
      <c r="H26" s="39">
        <f>SUM(H27:H27)</f>
        <v>0</v>
      </c>
      <c r="I26" s="39">
        <f>SUM(I27:I27)</f>
        <v>0</v>
      </c>
      <c r="J26" s="39">
        <f>H26+I26</f>
        <v>0</v>
      </c>
      <c r="K26" s="28"/>
      <c r="L26" s="39">
        <f>SUM(L27:L27)</f>
        <v>0</v>
      </c>
      <c r="M26" s="28"/>
      <c r="P26" s="39">
        <f>IF(Q26="PR",J26,SUM(O27:O27))</f>
        <v>0</v>
      </c>
      <c r="Q26" s="28" t="s">
        <v>120</v>
      </c>
      <c r="R26" s="39">
        <f>IF(Q26="HS",H26,0)</f>
        <v>0</v>
      </c>
      <c r="S26" s="39">
        <f>IF(Q26="HS",I26-P26,0)</f>
        <v>0</v>
      </c>
      <c r="T26" s="39">
        <f>IF(Q26="PS",H26,0)</f>
        <v>0</v>
      </c>
      <c r="U26" s="39">
        <f>IF(Q26="PS",I26-P26,0)</f>
        <v>0</v>
      </c>
      <c r="V26" s="39">
        <f>IF(Q26="MP",H26,0)</f>
        <v>0</v>
      </c>
      <c r="W26" s="39">
        <f>IF(Q26="MP",I26-P26,0)</f>
        <v>0</v>
      </c>
      <c r="X26" s="39">
        <f>IF(Q26="OM",H26,0)</f>
        <v>0</v>
      </c>
      <c r="Y26" s="28"/>
      <c r="AI26" s="39">
        <f>SUM(Z27:Z27)</f>
        <v>0</v>
      </c>
      <c r="AJ26" s="39">
        <f>SUM(AA27:AA27)</f>
        <v>0</v>
      </c>
      <c r="AK26" s="39">
        <f>SUM(AB27:AB27)</f>
        <v>0</v>
      </c>
    </row>
    <row r="27" spans="1:43" ht="12.75">
      <c r="A27" s="4" t="s">
        <v>13</v>
      </c>
      <c r="B27" s="4"/>
      <c r="C27" s="4" t="s">
        <v>34</v>
      </c>
      <c r="D27" s="4" t="s">
        <v>69</v>
      </c>
      <c r="E27" s="4" t="s">
        <v>97</v>
      </c>
      <c r="F27" s="18">
        <v>156.139</v>
      </c>
      <c r="G27" s="18">
        <v>0</v>
      </c>
      <c r="H27" s="18">
        <f>F27*AE27</f>
        <v>0</v>
      </c>
      <c r="I27" s="18">
        <f>J27-H27</f>
        <v>0</v>
      </c>
      <c r="J27" s="18">
        <f>F27*G27</f>
        <v>0</v>
      </c>
      <c r="K27" s="18">
        <v>0</v>
      </c>
      <c r="L27" s="18">
        <f>F27*K27</f>
        <v>0</v>
      </c>
      <c r="M27" s="31" t="s">
        <v>116</v>
      </c>
      <c r="N27" s="31" t="s">
        <v>7</v>
      </c>
      <c r="O27" s="18">
        <f>IF(N27="5",I27,0)</f>
        <v>0</v>
      </c>
      <c r="Z27" s="18">
        <f>IF(AD27=0,J27,0)</f>
        <v>0</v>
      </c>
      <c r="AA27" s="18">
        <f>IF(AD27=15,J27,0)</f>
        <v>0</v>
      </c>
      <c r="AB27" s="18">
        <f>IF(AD27=21,J27,0)</f>
        <v>0</v>
      </c>
      <c r="AD27" s="36">
        <v>21</v>
      </c>
      <c r="AE27" s="36">
        <f>G27*0</f>
        <v>0</v>
      </c>
      <c r="AF27" s="36">
        <f>G27*(1-0)</f>
        <v>0</v>
      </c>
      <c r="AM27" s="36">
        <f>F27*AE27</f>
        <v>0</v>
      </c>
      <c r="AN27" s="36">
        <f>F27*AF27</f>
        <v>0</v>
      </c>
      <c r="AO27" s="37" t="s">
        <v>131</v>
      </c>
      <c r="AP27" s="37" t="s">
        <v>136</v>
      </c>
      <c r="AQ27" s="28" t="s">
        <v>139</v>
      </c>
    </row>
    <row r="28" spans="4:6" ht="12.75">
      <c r="D28" s="16" t="s">
        <v>70</v>
      </c>
      <c r="F28" s="19">
        <v>156.139</v>
      </c>
    </row>
    <row r="29" spans="1:37" ht="12.75">
      <c r="A29" s="5"/>
      <c r="B29" s="13"/>
      <c r="C29" s="13" t="s">
        <v>35</v>
      </c>
      <c r="D29" s="84" t="s">
        <v>71</v>
      </c>
      <c r="E29" s="85"/>
      <c r="F29" s="85"/>
      <c r="G29" s="85"/>
      <c r="H29" s="39">
        <f>SUM(H30:H31)</f>
        <v>0</v>
      </c>
      <c r="I29" s="39">
        <f>SUM(I30:I31)</f>
        <v>0</v>
      </c>
      <c r="J29" s="39">
        <f>H29+I29</f>
        <v>0</v>
      </c>
      <c r="K29" s="28"/>
      <c r="L29" s="39">
        <f>SUM(L30:L31)</f>
        <v>44.706876460000004</v>
      </c>
      <c r="M29" s="28"/>
      <c r="P29" s="39">
        <f>IF(Q29="PR",J29,SUM(O30:O31))</f>
        <v>0</v>
      </c>
      <c r="Q29" s="28" t="s">
        <v>120</v>
      </c>
      <c r="R29" s="39">
        <f>IF(Q29="HS",H29,0)</f>
        <v>0</v>
      </c>
      <c r="S29" s="39">
        <f>IF(Q29="HS",I29-P29,0)</f>
        <v>0</v>
      </c>
      <c r="T29" s="39">
        <f>IF(Q29="PS",H29,0)</f>
        <v>0</v>
      </c>
      <c r="U29" s="39">
        <f>IF(Q29="PS",I29-P29,0)</f>
        <v>0</v>
      </c>
      <c r="V29" s="39">
        <f>IF(Q29="MP",H29,0)</f>
        <v>0</v>
      </c>
      <c r="W29" s="39">
        <f>IF(Q29="MP",I29-P29,0)</f>
        <v>0</v>
      </c>
      <c r="X29" s="39">
        <f>IF(Q29="OM",H29,0)</f>
        <v>0</v>
      </c>
      <c r="Y29" s="28"/>
      <c r="AI29" s="39">
        <f>SUM(Z30:Z31)</f>
        <v>0</v>
      </c>
      <c r="AJ29" s="39">
        <f>SUM(AA30:AA31)</f>
        <v>0</v>
      </c>
      <c r="AK29" s="39">
        <f>SUM(AB30:AB31)</f>
        <v>0</v>
      </c>
    </row>
    <row r="30" spans="1:43" ht="12.75">
      <c r="A30" s="4" t="s">
        <v>14</v>
      </c>
      <c r="B30" s="4"/>
      <c r="C30" s="4" t="s">
        <v>36</v>
      </c>
      <c r="D30" s="4" t="s">
        <v>72</v>
      </c>
      <c r="E30" s="4" t="s">
        <v>97</v>
      </c>
      <c r="F30" s="18">
        <v>146.475</v>
      </c>
      <c r="G30" s="18">
        <v>0</v>
      </c>
      <c r="H30" s="18">
        <f>F30*AE30</f>
        <v>0</v>
      </c>
      <c r="I30" s="18">
        <f>J30-H30</f>
        <v>0</v>
      </c>
      <c r="J30" s="18">
        <f>F30*G30</f>
        <v>0</v>
      </c>
      <c r="K30" s="18">
        <v>0.27994</v>
      </c>
      <c r="L30" s="18">
        <f>F30*K30</f>
        <v>41.004211500000004</v>
      </c>
      <c r="M30" s="31" t="s">
        <v>116</v>
      </c>
      <c r="N30" s="31" t="s">
        <v>7</v>
      </c>
      <c r="O30" s="18">
        <f>IF(N30="5",I30,0)</f>
        <v>0</v>
      </c>
      <c r="Z30" s="18">
        <f>IF(AD30=0,J30,0)</f>
        <v>0</v>
      </c>
      <c r="AA30" s="18">
        <f>IF(AD30=15,J30,0)</f>
        <v>0</v>
      </c>
      <c r="AB30" s="18">
        <f>IF(AD30=21,J30,0)</f>
        <v>0</v>
      </c>
      <c r="AD30" s="36">
        <v>21</v>
      </c>
      <c r="AE30" s="36">
        <f>G30*0.857782825414853</f>
        <v>0</v>
      </c>
      <c r="AF30" s="36">
        <f>G30*(1-0.857782825414853)</f>
        <v>0</v>
      </c>
      <c r="AM30" s="36">
        <f>F30*AE30</f>
        <v>0</v>
      </c>
      <c r="AN30" s="36">
        <f>F30*AF30</f>
        <v>0</v>
      </c>
      <c r="AO30" s="37" t="s">
        <v>132</v>
      </c>
      <c r="AP30" s="37" t="s">
        <v>137</v>
      </c>
      <c r="AQ30" s="28" t="s">
        <v>139</v>
      </c>
    </row>
    <row r="31" spans="1:43" ht="12.75">
      <c r="A31" s="4" t="s">
        <v>15</v>
      </c>
      <c r="B31" s="4"/>
      <c r="C31" s="4" t="s">
        <v>37</v>
      </c>
      <c r="D31" s="4" t="s">
        <v>73</v>
      </c>
      <c r="E31" s="4" t="s">
        <v>97</v>
      </c>
      <c r="F31" s="18">
        <v>9.664</v>
      </c>
      <c r="G31" s="18">
        <v>0</v>
      </c>
      <c r="H31" s="18">
        <f>F31*AE31</f>
        <v>0</v>
      </c>
      <c r="I31" s="18">
        <f>J31-H31</f>
        <v>0</v>
      </c>
      <c r="J31" s="18">
        <f>F31*G31</f>
        <v>0</v>
      </c>
      <c r="K31" s="18">
        <v>0.38314</v>
      </c>
      <c r="L31" s="18">
        <f>F31*K31</f>
        <v>3.70266496</v>
      </c>
      <c r="M31" s="31" t="s">
        <v>116</v>
      </c>
      <c r="N31" s="31" t="s">
        <v>7</v>
      </c>
      <c r="O31" s="18">
        <f>IF(N31="5",I31,0)</f>
        <v>0</v>
      </c>
      <c r="Z31" s="18">
        <f>IF(AD31=0,J31,0)</f>
        <v>0</v>
      </c>
      <c r="AA31" s="18">
        <f>IF(AD31=15,J31,0)</f>
        <v>0</v>
      </c>
      <c r="AB31" s="18">
        <f>IF(AD31=21,J31,0)</f>
        <v>0</v>
      </c>
      <c r="AD31" s="36">
        <v>21</v>
      </c>
      <c r="AE31" s="36">
        <f>G31*0.876423076923077</f>
        <v>0</v>
      </c>
      <c r="AF31" s="36">
        <f>G31*(1-0.876423076923077)</f>
        <v>0</v>
      </c>
      <c r="AM31" s="36">
        <f>F31*AE31</f>
        <v>0</v>
      </c>
      <c r="AN31" s="36">
        <f>F31*AF31</f>
        <v>0</v>
      </c>
      <c r="AO31" s="37" t="s">
        <v>132</v>
      </c>
      <c r="AP31" s="37" t="s">
        <v>137</v>
      </c>
      <c r="AQ31" s="28" t="s">
        <v>139</v>
      </c>
    </row>
    <row r="32" spans="1:37" ht="12.75">
      <c r="A32" s="5"/>
      <c r="B32" s="13"/>
      <c r="C32" s="13" t="s">
        <v>38</v>
      </c>
      <c r="D32" s="84" t="s">
        <v>74</v>
      </c>
      <c r="E32" s="85"/>
      <c r="F32" s="85"/>
      <c r="G32" s="85"/>
      <c r="H32" s="39">
        <f>SUM(H33:H38)</f>
        <v>0</v>
      </c>
      <c r="I32" s="39">
        <f>SUM(I33:I38)</f>
        <v>0</v>
      </c>
      <c r="J32" s="39">
        <f>H32+I32</f>
        <v>0</v>
      </c>
      <c r="K32" s="28"/>
      <c r="L32" s="39">
        <f>SUM(L33:L38)</f>
        <v>27.037017379999998</v>
      </c>
      <c r="M32" s="28"/>
      <c r="P32" s="39">
        <f>IF(Q32="PR",J32,SUM(O33:O38))</f>
        <v>0</v>
      </c>
      <c r="Q32" s="28" t="s">
        <v>120</v>
      </c>
      <c r="R32" s="39">
        <f>IF(Q32="HS",H32,0)</f>
        <v>0</v>
      </c>
      <c r="S32" s="39">
        <f>IF(Q32="HS",I32-P32,0)</f>
        <v>0</v>
      </c>
      <c r="T32" s="39">
        <f>IF(Q32="PS",H32,0)</f>
        <v>0</v>
      </c>
      <c r="U32" s="39">
        <f>IF(Q32="PS",I32-P32,0)</f>
        <v>0</v>
      </c>
      <c r="V32" s="39">
        <f>IF(Q32="MP",H32,0)</f>
        <v>0</v>
      </c>
      <c r="W32" s="39">
        <f>IF(Q32="MP",I32-P32,0)</f>
        <v>0</v>
      </c>
      <c r="X32" s="39">
        <f>IF(Q32="OM",H32,0)</f>
        <v>0</v>
      </c>
      <c r="Y32" s="28"/>
      <c r="AI32" s="39">
        <f>SUM(Z33:Z38)</f>
        <v>0</v>
      </c>
      <c r="AJ32" s="39">
        <f>SUM(AA33:AA38)</f>
        <v>0</v>
      </c>
      <c r="AK32" s="39">
        <f>SUM(AB33:AB38)</f>
        <v>0</v>
      </c>
    </row>
    <row r="33" spans="1:43" ht="12.75">
      <c r="A33" s="4" t="s">
        <v>16</v>
      </c>
      <c r="B33" s="4"/>
      <c r="C33" s="4" t="s">
        <v>39</v>
      </c>
      <c r="D33" s="4" t="s">
        <v>75</v>
      </c>
      <c r="E33" s="4" t="s">
        <v>97</v>
      </c>
      <c r="F33" s="18">
        <v>146.475</v>
      </c>
      <c r="G33" s="18">
        <v>0</v>
      </c>
      <c r="H33" s="18">
        <f>F33*AE33</f>
        <v>0</v>
      </c>
      <c r="I33" s="18">
        <f>J33-H33</f>
        <v>0</v>
      </c>
      <c r="J33" s="18">
        <f>F33*G33</f>
        <v>0</v>
      </c>
      <c r="K33" s="18">
        <v>0.05545</v>
      </c>
      <c r="L33" s="18">
        <f>F33*K33</f>
        <v>8.12203875</v>
      </c>
      <c r="M33" s="31" t="s">
        <v>116</v>
      </c>
      <c r="N33" s="31" t="s">
        <v>7</v>
      </c>
      <c r="O33" s="18">
        <f>IF(N33="5",I33,0)</f>
        <v>0</v>
      </c>
      <c r="Z33" s="18">
        <f>IF(AD33=0,J33,0)</f>
        <v>0</v>
      </c>
      <c r="AA33" s="18">
        <f>IF(AD33=15,J33,0)</f>
        <v>0</v>
      </c>
      <c r="AB33" s="18">
        <f>IF(AD33=21,J33,0)</f>
        <v>0</v>
      </c>
      <c r="AD33" s="36">
        <v>21</v>
      </c>
      <c r="AE33" s="36">
        <f>G33*0.158517045140616</f>
        <v>0</v>
      </c>
      <c r="AF33" s="36">
        <f>G33*(1-0.158517045140616)</f>
        <v>0</v>
      </c>
      <c r="AM33" s="36">
        <f>F33*AE33</f>
        <v>0</v>
      </c>
      <c r="AN33" s="36">
        <f>F33*AF33</f>
        <v>0</v>
      </c>
      <c r="AO33" s="37" t="s">
        <v>133</v>
      </c>
      <c r="AP33" s="37" t="s">
        <v>137</v>
      </c>
      <c r="AQ33" s="28" t="s">
        <v>139</v>
      </c>
    </row>
    <row r="34" spans="1:43" ht="12.75">
      <c r="A34" s="6" t="s">
        <v>17</v>
      </c>
      <c r="B34" s="6"/>
      <c r="C34" s="6" t="s">
        <v>40</v>
      </c>
      <c r="D34" s="6" t="s">
        <v>76</v>
      </c>
      <c r="E34" s="6" t="s">
        <v>97</v>
      </c>
      <c r="F34" s="20">
        <v>147.93975</v>
      </c>
      <c r="G34" s="20">
        <v>0</v>
      </c>
      <c r="H34" s="20">
        <f>F34*AE34</f>
        <v>0</v>
      </c>
      <c r="I34" s="20">
        <f>J34-H34</f>
        <v>0</v>
      </c>
      <c r="J34" s="20">
        <f>F34*G34</f>
        <v>0</v>
      </c>
      <c r="K34" s="20">
        <v>0.113</v>
      </c>
      <c r="L34" s="20">
        <f>F34*K34</f>
        <v>16.71719175</v>
      </c>
      <c r="M34" s="32" t="s">
        <v>116</v>
      </c>
      <c r="N34" s="32" t="s">
        <v>117</v>
      </c>
      <c r="O34" s="20">
        <f>IF(N34="5",I34,0)</f>
        <v>0</v>
      </c>
      <c r="Z34" s="20">
        <f>IF(AD34=0,J34,0)</f>
        <v>0</v>
      </c>
      <c r="AA34" s="20">
        <f>IF(AD34=15,J34,0)</f>
        <v>0</v>
      </c>
      <c r="AB34" s="20">
        <f>IF(AD34=21,J34,0)</f>
        <v>0</v>
      </c>
      <c r="AD34" s="36">
        <v>21</v>
      </c>
      <c r="AE34" s="36">
        <f>G34*1</f>
        <v>0</v>
      </c>
      <c r="AF34" s="36">
        <f>G34*(1-1)</f>
        <v>0</v>
      </c>
      <c r="AM34" s="36">
        <f>F34*AE34</f>
        <v>0</v>
      </c>
      <c r="AN34" s="36">
        <f>F34*AF34</f>
        <v>0</v>
      </c>
      <c r="AO34" s="37" t="s">
        <v>133</v>
      </c>
      <c r="AP34" s="37" t="s">
        <v>137</v>
      </c>
      <c r="AQ34" s="28" t="s">
        <v>139</v>
      </c>
    </row>
    <row r="35" spans="4:6" ht="12.75">
      <c r="D35" s="16" t="s">
        <v>77</v>
      </c>
      <c r="F35" s="19">
        <v>146.475</v>
      </c>
    </row>
    <row r="36" spans="4:6" ht="12.75">
      <c r="D36" s="16" t="s">
        <v>78</v>
      </c>
      <c r="F36" s="19">
        <v>1.46475</v>
      </c>
    </row>
    <row r="37" spans="1:43" ht="12.75">
      <c r="A37" s="4" t="s">
        <v>18</v>
      </c>
      <c r="B37" s="4"/>
      <c r="C37" s="4" t="s">
        <v>41</v>
      </c>
      <c r="D37" s="4" t="s">
        <v>79</v>
      </c>
      <c r="E37" s="4" t="s">
        <v>97</v>
      </c>
      <c r="F37" s="18">
        <v>9.664</v>
      </c>
      <c r="G37" s="18">
        <v>0</v>
      </c>
      <c r="H37" s="18">
        <f>F37*AE37</f>
        <v>0</v>
      </c>
      <c r="I37" s="18">
        <f>J37-H37</f>
        <v>0</v>
      </c>
      <c r="J37" s="18">
        <f>F37*G37</f>
        <v>0</v>
      </c>
      <c r="K37" s="18">
        <v>0.0739</v>
      </c>
      <c r="L37" s="18">
        <f>F37*K37</f>
        <v>0.7141696</v>
      </c>
      <c r="M37" s="31" t="s">
        <v>116</v>
      </c>
      <c r="N37" s="31" t="s">
        <v>7</v>
      </c>
      <c r="O37" s="18">
        <f>IF(N37="5",I37,0)</f>
        <v>0</v>
      </c>
      <c r="Z37" s="18">
        <f>IF(AD37=0,J37,0)</f>
        <v>0</v>
      </c>
      <c r="AA37" s="18">
        <f>IF(AD37=15,J37,0)</f>
        <v>0</v>
      </c>
      <c r="AB37" s="18">
        <f>IF(AD37=21,J37,0)</f>
        <v>0</v>
      </c>
      <c r="AD37" s="36">
        <v>21</v>
      </c>
      <c r="AE37" s="36">
        <f>G37*0.1875</f>
        <v>0</v>
      </c>
      <c r="AF37" s="36">
        <f>G37*(1-0.1875)</f>
        <v>0</v>
      </c>
      <c r="AM37" s="36">
        <f>F37*AE37</f>
        <v>0</v>
      </c>
      <c r="AN37" s="36">
        <f>F37*AF37</f>
        <v>0</v>
      </c>
      <c r="AO37" s="37" t="s">
        <v>133</v>
      </c>
      <c r="AP37" s="37" t="s">
        <v>137</v>
      </c>
      <c r="AQ37" s="28" t="s">
        <v>139</v>
      </c>
    </row>
    <row r="38" spans="1:43" ht="12.75">
      <c r="A38" s="6" t="s">
        <v>19</v>
      </c>
      <c r="B38" s="6"/>
      <c r="C38" s="6" t="s">
        <v>42</v>
      </c>
      <c r="D38" s="6" t="s">
        <v>80</v>
      </c>
      <c r="E38" s="6" t="s">
        <v>97</v>
      </c>
      <c r="F38" s="20">
        <v>9.76064</v>
      </c>
      <c r="G38" s="20">
        <v>0</v>
      </c>
      <c r="H38" s="20">
        <f>F38*AE38</f>
        <v>0</v>
      </c>
      <c r="I38" s="20">
        <f>J38-H38</f>
        <v>0</v>
      </c>
      <c r="J38" s="20">
        <f>F38*G38</f>
        <v>0</v>
      </c>
      <c r="K38" s="20">
        <v>0.152</v>
      </c>
      <c r="L38" s="20">
        <f>F38*K38</f>
        <v>1.48361728</v>
      </c>
      <c r="M38" s="32" t="s">
        <v>116</v>
      </c>
      <c r="N38" s="32" t="s">
        <v>117</v>
      </c>
      <c r="O38" s="20">
        <f>IF(N38="5",I38,0)</f>
        <v>0</v>
      </c>
      <c r="Z38" s="20">
        <f>IF(AD38=0,J38,0)</f>
        <v>0</v>
      </c>
      <c r="AA38" s="20">
        <f>IF(AD38=15,J38,0)</f>
        <v>0</v>
      </c>
      <c r="AB38" s="20">
        <f>IF(AD38=21,J38,0)</f>
        <v>0</v>
      </c>
      <c r="AD38" s="36">
        <v>21</v>
      </c>
      <c r="AE38" s="36">
        <f>G38*1</f>
        <v>0</v>
      </c>
      <c r="AF38" s="36">
        <f>G38*(1-1)</f>
        <v>0</v>
      </c>
      <c r="AM38" s="36">
        <f>F38*AE38</f>
        <v>0</v>
      </c>
      <c r="AN38" s="36">
        <f>F38*AF38</f>
        <v>0</v>
      </c>
      <c r="AO38" s="37" t="s">
        <v>133</v>
      </c>
      <c r="AP38" s="37" t="s">
        <v>137</v>
      </c>
      <c r="AQ38" s="28" t="s">
        <v>139</v>
      </c>
    </row>
    <row r="39" spans="4:6" ht="12.75">
      <c r="D39" s="16" t="s">
        <v>81</v>
      </c>
      <c r="F39" s="19">
        <v>9.664</v>
      </c>
    </row>
    <row r="40" spans="4:6" ht="12.75">
      <c r="D40" s="16" t="s">
        <v>82</v>
      </c>
      <c r="F40" s="19">
        <v>0.09664</v>
      </c>
    </row>
    <row r="41" spans="1:37" ht="12.75">
      <c r="A41" s="5"/>
      <c r="B41" s="13"/>
      <c r="C41" s="13" t="s">
        <v>43</v>
      </c>
      <c r="D41" s="84" t="s">
        <v>83</v>
      </c>
      <c r="E41" s="85"/>
      <c r="F41" s="85"/>
      <c r="G41" s="85"/>
      <c r="H41" s="39">
        <f>SUM(H42:H44)</f>
        <v>0</v>
      </c>
      <c r="I41" s="39">
        <f>SUM(I42:I44)</f>
        <v>0</v>
      </c>
      <c r="J41" s="39">
        <f>H41+I41</f>
        <v>0</v>
      </c>
      <c r="K41" s="28"/>
      <c r="L41" s="39">
        <f>SUM(L42:L44)</f>
        <v>11.418214500000001</v>
      </c>
      <c r="M41" s="28"/>
      <c r="P41" s="39">
        <f>IF(Q41="PR",J41,SUM(O42:O44))</f>
        <v>0</v>
      </c>
      <c r="Q41" s="28" t="s">
        <v>120</v>
      </c>
      <c r="R41" s="39">
        <f>IF(Q41="HS",H41,0)</f>
        <v>0</v>
      </c>
      <c r="S41" s="39">
        <f>IF(Q41="HS",I41-P41,0)</f>
        <v>0</v>
      </c>
      <c r="T41" s="39">
        <f>IF(Q41="PS",H41,0)</f>
        <v>0</v>
      </c>
      <c r="U41" s="39">
        <f>IF(Q41="PS",I41-P41,0)</f>
        <v>0</v>
      </c>
      <c r="V41" s="39">
        <f>IF(Q41="MP",H41,0)</f>
        <v>0</v>
      </c>
      <c r="W41" s="39">
        <f>IF(Q41="MP",I41-P41,0)</f>
        <v>0</v>
      </c>
      <c r="X41" s="39">
        <f>IF(Q41="OM",H41,0)</f>
        <v>0</v>
      </c>
      <c r="Y41" s="28"/>
      <c r="AI41" s="39">
        <f>SUM(Z42:Z44)</f>
        <v>0</v>
      </c>
      <c r="AJ41" s="39">
        <f>SUM(AA42:AA44)</f>
        <v>0</v>
      </c>
      <c r="AK41" s="39">
        <f>SUM(AB42:AB44)</f>
        <v>0</v>
      </c>
    </row>
    <row r="42" spans="1:43" ht="12.75">
      <c r="A42" s="4" t="s">
        <v>20</v>
      </c>
      <c r="B42" s="4"/>
      <c r="C42" s="4" t="s">
        <v>44</v>
      </c>
      <c r="D42" s="4" t="s">
        <v>84</v>
      </c>
      <c r="E42" s="4" t="s">
        <v>98</v>
      </c>
      <c r="F42" s="18">
        <v>97.65</v>
      </c>
      <c r="G42" s="18">
        <v>0</v>
      </c>
      <c r="H42" s="18">
        <f>F42*AE42</f>
        <v>0</v>
      </c>
      <c r="I42" s="18">
        <f>J42-H42</f>
        <v>0</v>
      </c>
      <c r="J42" s="18">
        <f>F42*G42</f>
        <v>0</v>
      </c>
      <c r="K42" s="18">
        <v>0.11693</v>
      </c>
      <c r="L42" s="18">
        <f>F42*K42</f>
        <v>11.418214500000001</v>
      </c>
      <c r="M42" s="31" t="s">
        <v>116</v>
      </c>
      <c r="N42" s="31" t="s">
        <v>7</v>
      </c>
      <c r="O42" s="18">
        <f>IF(N42="5",I42,0)</f>
        <v>0</v>
      </c>
      <c r="Z42" s="18">
        <f>IF(AD42=0,J42,0)</f>
        <v>0</v>
      </c>
      <c r="AA42" s="18">
        <f>IF(AD42=15,J42,0)</f>
        <v>0</v>
      </c>
      <c r="AB42" s="18">
        <f>IF(AD42=21,J42,0)</f>
        <v>0</v>
      </c>
      <c r="AD42" s="36">
        <v>21</v>
      </c>
      <c r="AE42" s="36">
        <f>G42*0.756057359485742</f>
        <v>0</v>
      </c>
      <c r="AF42" s="36">
        <f>G42*(1-0.756057359485742)</f>
        <v>0</v>
      </c>
      <c r="AM42" s="36">
        <f>F42*AE42</f>
        <v>0</v>
      </c>
      <c r="AN42" s="36">
        <f>F42*AF42</f>
        <v>0</v>
      </c>
      <c r="AO42" s="37" t="s">
        <v>134</v>
      </c>
      <c r="AP42" s="37" t="s">
        <v>138</v>
      </c>
      <c r="AQ42" s="28" t="s">
        <v>139</v>
      </c>
    </row>
    <row r="43" spans="3:13" ht="12.75">
      <c r="C43" s="14" t="s">
        <v>24</v>
      </c>
      <c r="D43" s="86" t="s">
        <v>85</v>
      </c>
      <c r="E43" s="87"/>
      <c r="F43" s="87"/>
      <c r="G43" s="87"/>
      <c r="H43" s="87"/>
      <c r="I43" s="87"/>
      <c r="J43" s="87"/>
      <c r="K43" s="87"/>
      <c r="L43" s="87"/>
      <c r="M43" s="87"/>
    </row>
    <row r="44" spans="1:43" ht="12.75">
      <c r="A44" s="4" t="s">
        <v>21</v>
      </c>
      <c r="B44" s="4"/>
      <c r="C44" s="4" t="s">
        <v>45</v>
      </c>
      <c r="D44" s="4" t="s">
        <v>86</v>
      </c>
      <c r="E44" s="4" t="s">
        <v>99</v>
      </c>
      <c r="F44" s="18">
        <v>136.3424</v>
      </c>
      <c r="G44" s="18">
        <v>0</v>
      </c>
      <c r="H44" s="18">
        <f>F44*AE44</f>
        <v>0</v>
      </c>
      <c r="I44" s="18">
        <f>J44-H44</f>
        <v>0</v>
      </c>
      <c r="J44" s="18">
        <f>F44*G44</f>
        <v>0</v>
      </c>
      <c r="K44" s="18">
        <v>0</v>
      </c>
      <c r="L44" s="18">
        <f>F44*K44</f>
        <v>0</v>
      </c>
      <c r="M44" s="31" t="s">
        <v>116</v>
      </c>
      <c r="N44" s="31" t="s">
        <v>11</v>
      </c>
      <c r="O44" s="18">
        <f>IF(N44="5",I44,0)</f>
        <v>0</v>
      </c>
      <c r="Z44" s="18">
        <f>IF(AD44=0,J44,0)</f>
        <v>0</v>
      </c>
      <c r="AA44" s="18">
        <f>IF(AD44=15,J44,0)</f>
        <v>0</v>
      </c>
      <c r="AB44" s="18">
        <f>IF(AD44=21,J44,0)</f>
        <v>0</v>
      </c>
      <c r="AD44" s="36">
        <v>21</v>
      </c>
      <c r="AE44" s="36">
        <f>G44*0</f>
        <v>0</v>
      </c>
      <c r="AF44" s="36">
        <f>G44*(1-0)</f>
        <v>0</v>
      </c>
      <c r="AM44" s="36">
        <f>F44*AE44</f>
        <v>0</v>
      </c>
      <c r="AN44" s="36">
        <f>F44*AF44</f>
        <v>0</v>
      </c>
      <c r="AO44" s="37" t="s">
        <v>134</v>
      </c>
      <c r="AP44" s="37" t="s">
        <v>138</v>
      </c>
      <c r="AQ44" s="28" t="s">
        <v>139</v>
      </c>
    </row>
    <row r="45" spans="1:37" ht="12.75">
      <c r="A45" s="5"/>
      <c r="B45" s="13"/>
      <c r="C45" s="13" t="s">
        <v>46</v>
      </c>
      <c r="D45" s="84" t="s">
        <v>87</v>
      </c>
      <c r="E45" s="85"/>
      <c r="F45" s="85"/>
      <c r="G45" s="85"/>
      <c r="H45" s="39">
        <f>SUM(H46:H48)</f>
        <v>0</v>
      </c>
      <c r="I45" s="39">
        <f>SUM(I46:I48)</f>
        <v>0</v>
      </c>
      <c r="J45" s="39">
        <f>H45+I45</f>
        <v>0</v>
      </c>
      <c r="K45" s="28"/>
      <c r="L45" s="39">
        <f>SUM(L46:L48)</f>
        <v>0</v>
      </c>
      <c r="M45" s="28"/>
      <c r="P45" s="39">
        <f>IF(Q45="PR",J45,SUM(O46:O48))</f>
        <v>0</v>
      </c>
      <c r="Q45" s="28" t="s">
        <v>120</v>
      </c>
      <c r="R45" s="39">
        <f>IF(Q45="HS",H45,0)</f>
        <v>0</v>
      </c>
      <c r="S45" s="39">
        <f>IF(Q45="HS",I45-P45,0)</f>
        <v>0</v>
      </c>
      <c r="T45" s="39">
        <f>IF(Q45="PS",H45,0)</f>
        <v>0</v>
      </c>
      <c r="U45" s="39">
        <f>IF(Q45="PS",I45-P45,0)</f>
        <v>0</v>
      </c>
      <c r="V45" s="39">
        <f>IF(Q45="MP",H45,0)</f>
        <v>0</v>
      </c>
      <c r="W45" s="39">
        <f>IF(Q45="MP",I45-P45,0)</f>
        <v>0</v>
      </c>
      <c r="X45" s="39">
        <f>IF(Q45="OM",H45,0)</f>
        <v>0</v>
      </c>
      <c r="Y45" s="28"/>
      <c r="AI45" s="39">
        <f>SUM(Z46:Z48)</f>
        <v>0</v>
      </c>
      <c r="AJ45" s="39">
        <f>SUM(AA46:AA48)</f>
        <v>0</v>
      </c>
      <c r="AK45" s="39">
        <f>SUM(AB46:AB48)</f>
        <v>0</v>
      </c>
    </row>
    <row r="46" spans="1:43" ht="12.75">
      <c r="A46" s="4" t="s">
        <v>22</v>
      </c>
      <c r="B46" s="4"/>
      <c r="C46" s="4" t="s">
        <v>47</v>
      </c>
      <c r="D46" s="4" t="s">
        <v>88</v>
      </c>
      <c r="E46" s="4" t="s">
        <v>99</v>
      </c>
      <c r="F46" s="18">
        <v>29.12</v>
      </c>
      <c r="G46" s="18">
        <v>0</v>
      </c>
      <c r="H46" s="18">
        <f>F46*AE46</f>
        <v>0</v>
      </c>
      <c r="I46" s="18">
        <f>J46-H46</f>
        <v>0</v>
      </c>
      <c r="J46" s="18">
        <f>F46*G46</f>
        <v>0</v>
      </c>
      <c r="K46" s="18">
        <v>0</v>
      </c>
      <c r="L46" s="18">
        <f>F46*K46</f>
        <v>0</v>
      </c>
      <c r="M46" s="31" t="s">
        <v>116</v>
      </c>
      <c r="N46" s="31" t="s">
        <v>11</v>
      </c>
      <c r="O46" s="18">
        <f>IF(N46="5",I46,0)</f>
        <v>0</v>
      </c>
      <c r="Z46" s="18">
        <f>IF(AD46=0,J46,0)</f>
        <v>0</v>
      </c>
      <c r="AA46" s="18">
        <f>IF(AD46=15,J46,0)</f>
        <v>0</v>
      </c>
      <c r="AB46" s="18">
        <f>IF(AD46=21,J46,0)</f>
        <v>0</v>
      </c>
      <c r="AD46" s="36">
        <v>21</v>
      </c>
      <c r="AE46" s="36">
        <f>G46*0</f>
        <v>0</v>
      </c>
      <c r="AF46" s="36">
        <f>G46*(1-0)</f>
        <v>0</v>
      </c>
      <c r="AM46" s="36">
        <f>F46*AE46</f>
        <v>0</v>
      </c>
      <c r="AN46" s="36">
        <f>F46*AF46</f>
        <v>0</v>
      </c>
      <c r="AO46" s="37" t="s">
        <v>135</v>
      </c>
      <c r="AP46" s="37" t="s">
        <v>138</v>
      </c>
      <c r="AQ46" s="28" t="s">
        <v>139</v>
      </c>
    </row>
    <row r="47" spans="4:6" ht="12.75">
      <c r="D47" s="16" t="s">
        <v>89</v>
      </c>
      <c r="F47" s="19">
        <v>29.12</v>
      </c>
    </row>
    <row r="48" spans="1:43" ht="12.75">
      <c r="A48" s="7" t="s">
        <v>23</v>
      </c>
      <c r="B48" s="7"/>
      <c r="C48" s="7" t="s">
        <v>48</v>
      </c>
      <c r="D48" s="7" t="s">
        <v>90</v>
      </c>
      <c r="E48" s="7" t="s">
        <v>99</v>
      </c>
      <c r="F48" s="21">
        <v>29.12</v>
      </c>
      <c r="G48" s="21">
        <v>0</v>
      </c>
      <c r="H48" s="21">
        <f>F48*AE48</f>
        <v>0</v>
      </c>
      <c r="I48" s="21">
        <f>J48-H48</f>
        <v>0</v>
      </c>
      <c r="J48" s="21">
        <f>F48*G48</f>
        <v>0</v>
      </c>
      <c r="K48" s="21">
        <v>0</v>
      </c>
      <c r="L48" s="21">
        <f>F48*K48</f>
        <v>0</v>
      </c>
      <c r="M48" s="33" t="s">
        <v>116</v>
      </c>
      <c r="N48" s="31" t="s">
        <v>11</v>
      </c>
      <c r="O48" s="18">
        <f>IF(N48="5",I48,0)</f>
        <v>0</v>
      </c>
      <c r="Z48" s="18">
        <f>IF(AD48=0,J48,0)</f>
        <v>0</v>
      </c>
      <c r="AA48" s="18">
        <f>IF(AD48=15,J48,0)</f>
        <v>0</v>
      </c>
      <c r="AB48" s="18">
        <f>IF(AD48=21,J48,0)</f>
        <v>0</v>
      </c>
      <c r="AD48" s="36">
        <v>21</v>
      </c>
      <c r="AE48" s="36">
        <f>G48*0.00923317683881064</f>
        <v>0</v>
      </c>
      <c r="AF48" s="36">
        <f>G48*(1-0.00923317683881064)</f>
        <v>0</v>
      </c>
      <c r="AM48" s="36">
        <f>F48*AE48</f>
        <v>0</v>
      </c>
      <c r="AN48" s="36">
        <f>F48*AF48</f>
        <v>0</v>
      </c>
      <c r="AO48" s="37" t="s">
        <v>135</v>
      </c>
      <c r="AP48" s="37" t="s">
        <v>138</v>
      </c>
      <c r="AQ48" s="28" t="s">
        <v>139</v>
      </c>
    </row>
    <row r="49" spans="1:28" ht="12.75">
      <c r="A49" s="8"/>
      <c r="B49" s="8"/>
      <c r="C49" s="8"/>
      <c r="D49" s="8"/>
      <c r="E49" s="8"/>
      <c r="F49" s="8"/>
      <c r="G49" s="8"/>
      <c r="H49" s="88" t="s">
        <v>105</v>
      </c>
      <c r="I49" s="89"/>
      <c r="J49" s="40">
        <f>J12+J19+J22+J26+J29+J32+J41+J45</f>
        <v>0</v>
      </c>
      <c r="K49" s="8"/>
      <c r="L49" s="8"/>
      <c r="M49" s="8"/>
      <c r="Z49" s="41">
        <f>SUM(Z13:Z48)</f>
        <v>0</v>
      </c>
      <c r="AA49" s="41">
        <f>SUM(AA13:AA48)</f>
        <v>0</v>
      </c>
      <c r="AB49" s="41">
        <f>SUM(AB13:AB48)</f>
        <v>0</v>
      </c>
    </row>
    <row r="50" ht="11.25" customHeight="1">
      <c r="A50" s="9" t="s">
        <v>24</v>
      </c>
    </row>
    <row r="51" spans="1:13" ht="409.6" customHeight="1" hidden="1">
      <c r="A51" s="73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</sheetData>
  <mergeCells count="38">
    <mergeCell ref="A51:M51"/>
    <mergeCell ref="D29:G29"/>
    <mergeCell ref="D32:G32"/>
    <mergeCell ref="D41:G41"/>
    <mergeCell ref="D43:M43"/>
    <mergeCell ref="D45:G45"/>
    <mergeCell ref="H49:I49"/>
    <mergeCell ref="H10:J10"/>
    <mergeCell ref="K10:L10"/>
    <mergeCell ref="D12:G12"/>
    <mergeCell ref="D19:G19"/>
    <mergeCell ref="D22:G22"/>
    <mergeCell ref="D26:G26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9"/>
      <c r="B1" s="42"/>
      <c r="C1" s="90" t="s">
        <v>155</v>
      </c>
      <c r="D1" s="91"/>
      <c r="E1" s="91"/>
      <c r="F1" s="91"/>
      <c r="G1" s="91"/>
      <c r="H1" s="91"/>
      <c r="I1" s="91"/>
    </row>
    <row r="2" spans="1:10" ht="12.75">
      <c r="A2" s="62" t="s">
        <v>1</v>
      </c>
      <c r="B2" s="63"/>
      <c r="C2" s="66" t="s">
        <v>49</v>
      </c>
      <c r="D2" s="89"/>
      <c r="E2" s="69" t="s">
        <v>106</v>
      </c>
      <c r="F2" s="69"/>
      <c r="G2" s="63"/>
      <c r="H2" s="69" t="s">
        <v>180</v>
      </c>
      <c r="I2" s="92"/>
      <c r="J2" s="34"/>
    </row>
    <row r="3" spans="1:10" ht="12.75">
      <c r="A3" s="64"/>
      <c r="B3" s="65"/>
      <c r="C3" s="67"/>
      <c r="D3" s="67"/>
      <c r="E3" s="65"/>
      <c r="F3" s="65"/>
      <c r="G3" s="65"/>
      <c r="H3" s="65"/>
      <c r="I3" s="71"/>
      <c r="J3" s="34"/>
    </row>
    <row r="4" spans="1:10" ht="12.75">
      <c r="A4" s="72" t="s">
        <v>2</v>
      </c>
      <c r="B4" s="65"/>
      <c r="C4" s="73" t="s">
        <v>50</v>
      </c>
      <c r="D4" s="65"/>
      <c r="E4" s="73" t="s">
        <v>107</v>
      </c>
      <c r="F4" s="73"/>
      <c r="G4" s="65"/>
      <c r="H4" s="73" t="s">
        <v>180</v>
      </c>
      <c r="I4" s="93"/>
      <c r="J4" s="34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34"/>
    </row>
    <row r="6" spans="1:10" ht="12.75">
      <c r="A6" s="72" t="s">
        <v>3</v>
      </c>
      <c r="B6" s="65"/>
      <c r="C6" s="73" t="s">
        <v>51</v>
      </c>
      <c r="D6" s="65"/>
      <c r="E6" s="73" t="s">
        <v>108</v>
      </c>
      <c r="F6" s="73"/>
      <c r="G6" s="65"/>
      <c r="H6" s="73" t="s">
        <v>180</v>
      </c>
      <c r="I6" s="93"/>
      <c r="J6" s="34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34"/>
    </row>
    <row r="8" spans="1:10" ht="12.75">
      <c r="A8" s="72" t="s">
        <v>92</v>
      </c>
      <c r="B8" s="65"/>
      <c r="C8" s="74" t="s">
        <v>6</v>
      </c>
      <c r="D8" s="65"/>
      <c r="E8" s="73" t="s">
        <v>93</v>
      </c>
      <c r="F8" s="65"/>
      <c r="G8" s="65"/>
      <c r="H8" s="74" t="s">
        <v>181</v>
      </c>
      <c r="I8" s="93" t="s">
        <v>23</v>
      </c>
      <c r="J8" s="34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34"/>
    </row>
    <row r="10" spans="1:10" ht="12.75">
      <c r="A10" s="72" t="s">
        <v>4</v>
      </c>
      <c r="B10" s="65"/>
      <c r="C10" s="73"/>
      <c r="D10" s="65"/>
      <c r="E10" s="73" t="s">
        <v>109</v>
      </c>
      <c r="F10" s="73" t="s">
        <v>111</v>
      </c>
      <c r="G10" s="65"/>
      <c r="H10" s="74" t="s">
        <v>182</v>
      </c>
      <c r="I10" s="96">
        <v>42551</v>
      </c>
      <c r="J10" s="34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34"/>
    </row>
    <row r="12" spans="1:9" ht="23.45" customHeight="1">
      <c r="A12" s="98" t="s">
        <v>140</v>
      </c>
      <c r="B12" s="99"/>
      <c r="C12" s="99"/>
      <c r="D12" s="99"/>
      <c r="E12" s="99"/>
      <c r="F12" s="99"/>
      <c r="G12" s="99"/>
      <c r="H12" s="99"/>
      <c r="I12" s="99"/>
    </row>
    <row r="13" spans="1:10" ht="26.45" customHeight="1">
      <c r="A13" s="43" t="s">
        <v>141</v>
      </c>
      <c r="B13" s="100" t="s">
        <v>153</v>
      </c>
      <c r="C13" s="101"/>
      <c r="D13" s="43" t="s">
        <v>156</v>
      </c>
      <c r="E13" s="100" t="s">
        <v>165</v>
      </c>
      <c r="F13" s="101"/>
      <c r="G13" s="43" t="s">
        <v>166</v>
      </c>
      <c r="H13" s="100" t="s">
        <v>183</v>
      </c>
      <c r="I13" s="101"/>
      <c r="J13" s="34"/>
    </row>
    <row r="14" spans="1:10" ht="15.2" customHeight="1">
      <c r="A14" s="44" t="s">
        <v>142</v>
      </c>
      <c r="B14" s="48" t="s">
        <v>154</v>
      </c>
      <c r="C14" s="52">
        <f>SUM('Stavební rozpočet'!R12:R48)</f>
        <v>0</v>
      </c>
      <c r="D14" s="102" t="s">
        <v>157</v>
      </c>
      <c r="E14" s="103"/>
      <c r="F14" s="52">
        <v>0</v>
      </c>
      <c r="G14" s="102" t="s">
        <v>167</v>
      </c>
      <c r="H14" s="103"/>
      <c r="I14" s="52">
        <v>0</v>
      </c>
      <c r="J14" s="34"/>
    </row>
    <row r="15" spans="1:10" ht="15.2" customHeight="1">
      <c r="A15" s="45"/>
      <c r="B15" s="48" t="s">
        <v>110</v>
      </c>
      <c r="C15" s="52">
        <f>SUM('Stavební rozpočet'!S12:S48)</f>
        <v>0</v>
      </c>
      <c r="D15" s="102" t="s">
        <v>158</v>
      </c>
      <c r="E15" s="103"/>
      <c r="F15" s="52">
        <v>0</v>
      </c>
      <c r="G15" s="102" t="s">
        <v>168</v>
      </c>
      <c r="H15" s="103"/>
      <c r="I15" s="52">
        <v>0</v>
      </c>
      <c r="J15" s="34"/>
    </row>
    <row r="16" spans="1:10" ht="15.2" customHeight="1">
      <c r="A16" s="44" t="s">
        <v>143</v>
      </c>
      <c r="B16" s="48" t="s">
        <v>154</v>
      </c>
      <c r="C16" s="52">
        <f>SUM('Stavební rozpočet'!T12:T48)</f>
        <v>0</v>
      </c>
      <c r="D16" s="102" t="s">
        <v>159</v>
      </c>
      <c r="E16" s="103"/>
      <c r="F16" s="52">
        <v>0</v>
      </c>
      <c r="G16" s="102" t="s">
        <v>169</v>
      </c>
      <c r="H16" s="103"/>
      <c r="I16" s="52">
        <v>0</v>
      </c>
      <c r="J16" s="34"/>
    </row>
    <row r="17" spans="1:10" ht="15.2" customHeight="1">
      <c r="A17" s="45"/>
      <c r="B17" s="48" t="s">
        <v>110</v>
      </c>
      <c r="C17" s="52">
        <f>SUM('Stavební rozpočet'!U12:U48)</f>
        <v>0</v>
      </c>
      <c r="D17" s="102"/>
      <c r="E17" s="103"/>
      <c r="F17" s="53"/>
      <c r="G17" s="102" t="s">
        <v>170</v>
      </c>
      <c r="H17" s="103"/>
      <c r="I17" s="52">
        <v>0</v>
      </c>
      <c r="J17" s="34"/>
    </row>
    <row r="18" spans="1:10" ht="15.2" customHeight="1">
      <c r="A18" s="44" t="s">
        <v>144</v>
      </c>
      <c r="B18" s="48" t="s">
        <v>154</v>
      </c>
      <c r="C18" s="52">
        <f>SUM('Stavební rozpočet'!V12:V48)</f>
        <v>0</v>
      </c>
      <c r="D18" s="102"/>
      <c r="E18" s="103"/>
      <c r="F18" s="53"/>
      <c r="G18" s="102" t="s">
        <v>171</v>
      </c>
      <c r="H18" s="103"/>
      <c r="I18" s="52">
        <v>0</v>
      </c>
      <c r="J18" s="34"/>
    </row>
    <row r="19" spans="1:10" ht="15.2" customHeight="1">
      <c r="A19" s="45"/>
      <c r="B19" s="48" t="s">
        <v>110</v>
      </c>
      <c r="C19" s="52">
        <f>SUM('Stavební rozpočet'!W12:W48)</f>
        <v>0</v>
      </c>
      <c r="D19" s="102"/>
      <c r="E19" s="103"/>
      <c r="F19" s="53"/>
      <c r="G19" s="102" t="s">
        <v>172</v>
      </c>
      <c r="H19" s="103"/>
      <c r="I19" s="52">
        <v>0</v>
      </c>
      <c r="J19" s="34"/>
    </row>
    <row r="20" spans="1:10" ht="15.2" customHeight="1">
      <c r="A20" s="104" t="s">
        <v>145</v>
      </c>
      <c r="B20" s="105"/>
      <c r="C20" s="52">
        <f>SUM('Stavební rozpočet'!X12:X48)</f>
        <v>0</v>
      </c>
      <c r="D20" s="102"/>
      <c r="E20" s="103"/>
      <c r="F20" s="53"/>
      <c r="G20" s="102"/>
      <c r="H20" s="103"/>
      <c r="I20" s="53"/>
      <c r="J20" s="34"/>
    </row>
    <row r="21" spans="1:10" ht="15.2" customHeight="1">
      <c r="A21" s="104" t="s">
        <v>146</v>
      </c>
      <c r="B21" s="105"/>
      <c r="C21" s="52">
        <f>SUM('Stavební rozpočet'!P12:P48)</f>
        <v>0</v>
      </c>
      <c r="D21" s="102"/>
      <c r="E21" s="103"/>
      <c r="F21" s="53"/>
      <c r="G21" s="102"/>
      <c r="H21" s="103"/>
      <c r="I21" s="53"/>
      <c r="J21" s="34"/>
    </row>
    <row r="22" spans="1:10" ht="16.7" customHeight="1">
      <c r="A22" s="104" t="s">
        <v>147</v>
      </c>
      <c r="B22" s="105"/>
      <c r="C22" s="52">
        <f>SUM(C14:C21)</f>
        <v>0</v>
      </c>
      <c r="D22" s="104" t="s">
        <v>160</v>
      </c>
      <c r="E22" s="105"/>
      <c r="F22" s="52">
        <f>SUM(F14:F21)</f>
        <v>0</v>
      </c>
      <c r="G22" s="104" t="s">
        <v>173</v>
      </c>
      <c r="H22" s="105"/>
      <c r="I22" s="52">
        <f>SUM(I14:I21)</f>
        <v>0</v>
      </c>
      <c r="J22" s="34"/>
    </row>
    <row r="23" spans="1:10" ht="15.2" customHeight="1">
      <c r="A23" s="8"/>
      <c r="B23" s="8"/>
      <c r="C23" s="50"/>
      <c r="D23" s="104" t="s">
        <v>161</v>
      </c>
      <c r="E23" s="105"/>
      <c r="F23" s="54">
        <v>0</v>
      </c>
      <c r="G23" s="104" t="s">
        <v>174</v>
      </c>
      <c r="H23" s="105"/>
      <c r="I23" s="52">
        <v>0</v>
      </c>
      <c r="J23" s="34"/>
    </row>
    <row r="24" spans="4:9" ht="15.2" customHeight="1">
      <c r="D24" s="8"/>
      <c r="E24" s="8"/>
      <c r="F24" s="55"/>
      <c r="G24" s="104" t="s">
        <v>175</v>
      </c>
      <c r="H24" s="105"/>
      <c r="I24" s="57"/>
    </row>
    <row r="25" spans="6:10" ht="15.2" customHeight="1">
      <c r="F25" s="56"/>
      <c r="G25" s="104" t="s">
        <v>176</v>
      </c>
      <c r="H25" s="105"/>
      <c r="I25" s="52">
        <v>0</v>
      </c>
      <c r="J25" s="34"/>
    </row>
    <row r="26" spans="1:9" ht="12.75">
      <c r="A26" s="42"/>
      <c r="B26" s="42"/>
      <c r="C26" s="42"/>
      <c r="G26" s="8"/>
      <c r="H26" s="8"/>
      <c r="I26" s="8"/>
    </row>
    <row r="27" spans="1:9" ht="15.2" customHeight="1">
      <c r="A27" s="106" t="s">
        <v>148</v>
      </c>
      <c r="B27" s="107"/>
      <c r="C27" s="58">
        <f>SUM('Stavební rozpočet'!Z12:Z48)</f>
        <v>0</v>
      </c>
      <c r="D27" s="51"/>
      <c r="E27" s="42"/>
      <c r="F27" s="42"/>
      <c r="G27" s="42"/>
      <c r="H27" s="42"/>
      <c r="I27" s="42"/>
    </row>
    <row r="28" spans="1:10" ht="15.2" customHeight="1">
      <c r="A28" s="106" t="s">
        <v>149</v>
      </c>
      <c r="B28" s="107"/>
      <c r="C28" s="58">
        <f>SUM('Stavební rozpočet'!AA12:AA48)</f>
        <v>0</v>
      </c>
      <c r="D28" s="106" t="s">
        <v>162</v>
      </c>
      <c r="E28" s="107"/>
      <c r="F28" s="58">
        <f>ROUND(C28*(15/100),2)</f>
        <v>0</v>
      </c>
      <c r="G28" s="106" t="s">
        <v>177</v>
      </c>
      <c r="H28" s="107"/>
      <c r="I28" s="58">
        <f>SUM(C27:C29)</f>
        <v>0</v>
      </c>
      <c r="J28" s="34"/>
    </row>
    <row r="29" spans="1:10" ht="15.2" customHeight="1">
      <c r="A29" s="106" t="s">
        <v>150</v>
      </c>
      <c r="B29" s="107"/>
      <c r="C29" s="58">
        <f>SUM('Stavební rozpočet'!AB12:AB48)+(F22+I22+F23+I23+I24+I25)</f>
        <v>0</v>
      </c>
      <c r="D29" s="106" t="s">
        <v>163</v>
      </c>
      <c r="E29" s="107"/>
      <c r="F29" s="58">
        <f>ROUND(C29*(21/100),2)</f>
        <v>0</v>
      </c>
      <c r="G29" s="106" t="s">
        <v>178</v>
      </c>
      <c r="H29" s="107"/>
      <c r="I29" s="58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45" customHeight="1">
      <c r="A31" s="108" t="s">
        <v>151</v>
      </c>
      <c r="B31" s="109"/>
      <c r="C31" s="110"/>
      <c r="D31" s="108" t="s">
        <v>164</v>
      </c>
      <c r="E31" s="109"/>
      <c r="F31" s="110"/>
      <c r="G31" s="108" t="s">
        <v>179</v>
      </c>
      <c r="H31" s="109"/>
      <c r="I31" s="110"/>
      <c r="J31" s="35"/>
    </row>
    <row r="32" spans="1:10" ht="14.45" customHeight="1">
      <c r="A32" s="111"/>
      <c r="B32" s="112"/>
      <c r="C32" s="113"/>
      <c r="D32" s="111"/>
      <c r="E32" s="112"/>
      <c r="F32" s="113"/>
      <c r="G32" s="111"/>
      <c r="H32" s="112"/>
      <c r="I32" s="113"/>
      <c r="J32" s="35"/>
    </row>
    <row r="33" spans="1:10" ht="14.45" customHeight="1">
      <c r="A33" s="111"/>
      <c r="B33" s="112"/>
      <c r="C33" s="113"/>
      <c r="D33" s="111"/>
      <c r="E33" s="112"/>
      <c r="F33" s="113"/>
      <c r="G33" s="111"/>
      <c r="H33" s="112"/>
      <c r="I33" s="113"/>
      <c r="J33" s="35"/>
    </row>
    <row r="34" spans="1:10" ht="14.45" customHeight="1">
      <c r="A34" s="111"/>
      <c r="B34" s="112"/>
      <c r="C34" s="113"/>
      <c r="D34" s="111"/>
      <c r="E34" s="112"/>
      <c r="F34" s="113"/>
      <c r="G34" s="111"/>
      <c r="H34" s="112"/>
      <c r="I34" s="113"/>
      <c r="J34" s="35"/>
    </row>
    <row r="35" spans="1:10" ht="14.45" customHeight="1">
      <c r="A35" s="114" t="s">
        <v>152</v>
      </c>
      <c r="B35" s="115"/>
      <c r="C35" s="116"/>
      <c r="D35" s="114" t="s">
        <v>152</v>
      </c>
      <c r="E35" s="115"/>
      <c r="F35" s="116"/>
      <c r="G35" s="114" t="s">
        <v>152</v>
      </c>
      <c r="H35" s="115"/>
      <c r="I35" s="116"/>
      <c r="J35" s="35"/>
    </row>
    <row r="36" spans="1:9" ht="11.25" customHeight="1">
      <c r="A36" s="47" t="s">
        <v>24</v>
      </c>
      <c r="B36" s="49"/>
      <c r="C36" s="49"/>
      <c r="D36" s="49"/>
      <c r="E36" s="49"/>
      <c r="F36" s="49"/>
      <c r="G36" s="49"/>
      <c r="H36" s="49"/>
      <c r="I36" s="49"/>
    </row>
    <row r="37" spans="1:9" ht="409.6" customHeight="1" hidden="1">
      <c r="A37" s="73"/>
      <c r="B37" s="65"/>
      <c r="C37" s="65"/>
      <c r="D37" s="65"/>
      <c r="E37" s="65"/>
      <c r="F37" s="65"/>
      <c r="G37" s="65"/>
      <c r="H37" s="65"/>
      <c r="I37" s="6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Eva</dc:creator>
  <cp:keywords/>
  <dc:description/>
  <cp:lastModifiedBy>enovotna</cp:lastModifiedBy>
  <dcterms:created xsi:type="dcterms:W3CDTF">2016-07-25T06:40:32Z</dcterms:created>
  <dcterms:modified xsi:type="dcterms:W3CDTF">2016-07-25T06:40:33Z</dcterms:modified>
  <cp:category/>
  <cp:version/>
  <cp:contentType/>
  <cp:contentStatus/>
</cp:coreProperties>
</file>