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<sst xmlns="http://schemas.openxmlformats.org/spreadsheetml/2006/main" count="634" uniqueCount="295">
  <si>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</si>
  <si>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</si>
  <si>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</si>
  <si>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</si>
  <si>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</si>
  <si>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</si>
  <si>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</si>
  <si>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</si>
  <si>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</si>
  <si>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</si>
  <si>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</si>
  <si>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</si>
  <si>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</si>
  <si>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</si>
  <si>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</si>
  <si>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</si>
  <si>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</si>
  <si>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</si>
  <si>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</si>
  <si>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</si>
  <si>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</si>
  <si>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</si>
  <si>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</si>
  <si>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</si>
  <si>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</si>
  <si>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</si>
  <si>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</si>
  <si>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</si>
  <si>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</si>
  <si>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</si>
  <si>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</si>
  <si>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</si>
  <si>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</si>
  <si>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</si>
  <si>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</si>
  <si>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</si>
  <si>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</si>
  <si>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</si>
  <si>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</si>
  <si>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</si>
  <si>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</si>
  <si>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</si>
  <si>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</si>
  <si>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</si>
  <si>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</si>
  <si>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</si>
  <si>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</si>
  <si>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</si>
  <si>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</si>
  <si>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</si>
  <si>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</si>
  <si>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</si>
  <si>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Poznámka:</t>
  </si>
  <si>
    <t>Objekt</t>
  </si>
  <si>
    <t>Kód</t>
  </si>
  <si>
    <t>61</t>
  </si>
  <si>
    <t>612409991R00</t>
  </si>
  <si>
    <t>612425931R00</t>
  </si>
  <si>
    <t>610991111R00</t>
  </si>
  <si>
    <t>62</t>
  </si>
  <si>
    <t>622421143R00</t>
  </si>
  <si>
    <t>64</t>
  </si>
  <si>
    <t>648991113RT2</t>
  </si>
  <si>
    <t>648991113RT3</t>
  </si>
  <si>
    <t>648991113RT4</t>
  </si>
  <si>
    <t>648991113RT6</t>
  </si>
  <si>
    <t>94</t>
  </si>
  <si>
    <t>941955001R00</t>
  </si>
  <si>
    <t>941955003R00</t>
  </si>
  <si>
    <t>941940032RAA</t>
  </si>
  <si>
    <t>95</t>
  </si>
  <si>
    <t>952901114R00</t>
  </si>
  <si>
    <t>998011003R00</t>
  </si>
  <si>
    <t>96</t>
  </si>
  <si>
    <t>968061112R00</t>
  </si>
  <si>
    <t>968062355R00</t>
  </si>
  <si>
    <t>968062356R00</t>
  </si>
  <si>
    <t>968095001R00</t>
  </si>
  <si>
    <t>968095002R00</t>
  </si>
  <si>
    <t>97</t>
  </si>
  <si>
    <t>978013191R00</t>
  </si>
  <si>
    <t>978015291R00</t>
  </si>
  <si>
    <t>S</t>
  </si>
  <si>
    <t>979082111R00</t>
  </si>
  <si>
    <t>979082121R00</t>
  </si>
  <si>
    <t>979990001R00</t>
  </si>
  <si>
    <t>979990162R00</t>
  </si>
  <si>
    <t>979011111R00</t>
  </si>
  <si>
    <t>979011121R00</t>
  </si>
  <si>
    <t>979081111R00</t>
  </si>
  <si>
    <t>979081121R00</t>
  </si>
  <si>
    <t>764</t>
  </si>
  <si>
    <t>764510285VD</t>
  </si>
  <si>
    <t>998766103R00</t>
  </si>
  <si>
    <t>766</t>
  </si>
  <si>
    <t>766621280VD</t>
  </si>
  <si>
    <t>766601229R00</t>
  </si>
  <si>
    <t>766692401VD</t>
  </si>
  <si>
    <t>766692402VD</t>
  </si>
  <si>
    <t>766692403VD</t>
  </si>
  <si>
    <t>766692404VD</t>
  </si>
  <si>
    <t>766692405VD</t>
  </si>
  <si>
    <t>766601216R00</t>
  </si>
  <si>
    <t>781</t>
  </si>
  <si>
    <t>781310121R00</t>
  </si>
  <si>
    <t>781320121R00</t>
  </si>
  <si>
    <t>597813622</t>
  </si>
  <si>
    <t>998781103R00</t>
  </si>
  <si>
    <t>784</t>
  </si>
  <si>
    <t>784161401R00</t>
  </si>
  <si>
    <t>784165212R00</t>
  </si>
  <si>
    <t>Výměna oken OA TGM Kostelec nad Orlicí - 2. etapa</t>
  </si>
  <si>
    <t>Kostelec nad Orlicí</t>
  </si>
  <si>
    <t>Zkrácený popis</t>
  </si>
  <si>
    <t>Rozměry</t>
  </si>
  <si>
    <t>Úprava povrchů vnitřní</t>
  </si>
  <si>
    <t>Začištění omítek kolem oken,dveří apod.</t>
  </si>
  <si>
    <t>venkovní ostění</t>
  </si>
  <si>
    <t>Omítka vápenná vnitřního ostění - štuková</t>
  </si>
  <si>
    <t>Zakrývání výplní vnitřních otvorů</t>
  </si>
  <si>
    <t>Úprava povrchů vnější</t>
  </si>
  <si>
    <t>Omítka vnější stěn, MVC, štuková, složitost 1-2</t>
  </si>
  <si>
    <t>(2,12*2+0,85)*0,18</t>
  </si>
  <si>
    <t>okno WC 3. podl. pevně zasklené</t>
  </si>
  <si>
    <t>Výplně otvorů</t>
  </si>
  <si>
    <t>Osazení parapet.desek plast. a lamin. š.nad 20cm</t>
  </si>
  <si>
    <t>včetně dodávky plastové parapetní desky š. 250 mm</t>
  </si>
  <si>
    <t>včetně dodávky plastové parapetní desky š. 300 mm</t>
  </si>
  <si>
    <t>včetně dodávky plastové parapetní desky š. 350 mm</t>
  </si>
  <si>
    <t>včetně dodávky plastové parapetní desky š. 500 mm</t>
  </si>
  <si>
    <t>Lešení a stavební výtahy</t>
  </si>
  <si>
    <t>Lešení lehké pomocné, výška podlahy do 1,2 m</t>
  </si>
  <si>
    <t>Lešení lehké pomocné, výška podlahy do 2,5 m</t>
  </si>
  <si>
    <t>Lešení lehké fasádní, š. 1 m, výška do 30 m</t>
  </si>
  <si>
    <t>montáž, demontáž, doprava, pronájem 1 měsíc - osazení okna zvenku</t>
  </si>
  <si>
    <t>Různé dokončovací konstrukce a práce na pozemních stavbách</t>
  </si>
  <si>
    <t>Vyčištění budov o výšce podlaží nad 4 m</t>
  </si>
  <si>
    <t>211,86+211,09*2+203,44+371,74+293,91*2</t>
  </si>
  <si>
    <t>Přesun hmot pro budovy zděné výšky do 24 m</t>
  </si>
  <si>
    <t>Bourání konstrukcí</t>
  </si>
  <si>
    <t>Vyvěšení dřevěných okenních křídel pl. do 1,5 m2</t>
  </si>
  <si>
    <t>Vybourání dřevěných rámů oken dvojitých pl. 2 m2</t>
  </si>
  <si>
    <t>Vybourání dřevěných rámů oken dvojitých pl. 4 m2</t>
  </si>
  <si>
    <t>Bourání parapetů dřevěných š. do 25 cm</t>
  </si>
  <si>
    <t>Bourání parapetů dřevěných š. do 50 cm</t>
  </si>
  <si>
    <t>108,27+12,68+3,22</t>
  </si>
  <si>
    <t>Prorážení otvorů a ostatní bourací práce</t>
  </si>
  <si>
    <t>Otlučení omítek vnitřních stěn v rozsahu do 100 %</t>
  </si>
  <si>
    <t>Otlučení omítek vnějších MVC v složit.1-4 do 100 %</t>
  </si>
  <si>
    <t>Přesuny sutí</t>
  </si>
  <si>
    <t>Vnitrostaveništní doprava suti do 10 m</t>
  </si>
  <si>
    <t>Příplatek k vnitrost. dopravě suti za dalších 5 m</t>
  </si>
  <si>
    <t>26,37986*4</t>
  </si>
  <si>
    <t>Poplatek za skládku stavební suti</t>
  </si>
  <si>
    <t>26,37986-22,8886</t>
  </si>
  <si>
    <t>Poplatek za skládku suti - dřevo+sklo</t>
  </si>
  <si>
    <t>Svislá doprava suti a vybour. hmot za 2.NP a 1.PP</t>
  </si>
  <si>
    <t>Příplatek za každé další podlaží</t>
  </si>
  <si>
    <t>8,7933*2</t>
  </si>
  <si>
    <t>Odvoz suti a vybour. hmot na skládku do 1 km</t>
  </si>
  <si>
    <t>Příplatek k odvozu za každý další 1 km</t>
  </si>
  <si>
    <t>26,37986*16</t>
  </si>
  <si>
    <t>Konstrukce klempířské</t>
  </si>
  <si>
    <t>Překrývací lišta parapetního plechu Cu</t>
  </si>
  <si>
    <t>nastavení stávajícího parapetního plechu Cu k rámu okna</t>
  </si>
  <si>
    <t>Přesun hmot pro truhlářské konstr., výšky do 24 m</t>
  </si>
  <si>
    <t>Konstrukce truhlářské</t>
  </si>
  <si>
    <t>Celkem dodávka a montáž plastových oken</t>
  </si>
  <si>
    <t>2. etapa celkem 130 ks podle rozpisu oken
trojsklo Ug = 0,6 W/m2K</t>
  </si>
  <si>
    <t>Těsnění oken.spáry,parapet,PT folie+PP folie+páska</t>
  </si>
  <si>
    <t>Roleta látková 140/270 dodávka a montáž</t>
  </si>
  <si>
    <t>Roleta látková 150/270 dodávka a montáž</t>
  </si>
  <si>
    <t>Roleta látková 120/270 dodávka a montáž</t>
  </si>
  <si>
    <t>Roleta látková 155/290 dodávka a montáž</t>
  </si>
  <si>
    <t>Roleta látková 120/290 dodávka a montáž</t>
  </si>
  <si>
    <t>pro všechny rolety přeměřit otvory před objednávkou</t>
  </si>
  <si>
    <t>Těsnění oken.spáry, ostění, PT folie + PP páska</t>
  </si>
  <si>
    <t>Obklady (keramické)</t>
  </si>
  <si>
    <t>Obkládání ostění do tmele šířky do 300 mm</t>
  </si>
  <si>
    <t>(0,10*3+0,30*3+0,10*3+0,17*3+0,33*2)*2</t>
  </si>
  <si>
    <t>Obkládání parapetů do tmele šířky do 300 mm</t>
  </si>
  <si>
    <t>0,85*15</t>
  </si>
  <si>
    <t>Obkládačka 20x20 béžová mat</t>
  </si>
  <si>
    <t>5,34*0,20+12,75*0,05</t>
  </si>
  <si>
    <t>Přesun hmot pro obklady keramické, výšky do 24 m</t>
  </si>
  <si>
    <t>Malby</t>
  </si>
  <si>
    <t>Penetrace podkladu nátěrem HET, Klasik, 1 x</t>
  </si>
  <si>
    <t>6,60*2,0*2+(2,90+8,20*2)*2*4,0+(18,80+3,40)*4</t>
  </si>
  <si>
    <t>(32,45+1,90*2+2,0)*4,0</t>
  </si>
  <si>
    <t>6,60*2,0*2+(3,0+8,20*2)*2*4,0+(18,95+3,45)*4</t>
  </si>
  <si>
    <t>(32,45+3,95*2+2,0*2+2,0)*4</t>
  </si>
  <si>
    <t>Malba HET Super malba, bílá, bez penetrace, 2x</t>
  </si>
  <si>
    <t>Doba výstavby:</t>
  </si>
  <si>
    <t>Začátek výstavby:</t>
  </si>
  <si>
    <t>Konec výstavby:</t>
  </si>
  <si>
    <t>Zpracováno dne:</t>
  </si>
  <si>
    <t>M.j.</t>
  </si>
  <si>
    <t>m</t>
  </si>
  <si>
    <t>m2</t>
  </si>
  <si>
    <t>t</t>
  </si>
  <si>
    <t>kus</t>
  </si>
  <si>
    <t>Kč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</si>
  <si>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</si>
  <si>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</si>
  <si>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</si>
  <si>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</si>
  <si>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</si>
  <si>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</si>
  <si>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</si>
  <si>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</si>
  <si>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</si>
  <si>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</si>
  <si>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</si>
  <si>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</si>
  <si>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</si>
  <si>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</si>
  <si>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</si>
  <si>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</si>
  <si>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</si>
  <si>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</si>
  <si>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</si>
  <si>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</si>
  <si>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</si>
  <si>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</si>
  <si>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</si>
  <si>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</si>
  <si>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</si>
  <si>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</si>
  <si>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61_</t>
  </si>
  <si>
    <t>62_</t>
  </si>
  <si>
    <t>64_</t>
  </si>
  <si>
    <t>94_</t>
  </si>
  <si>
    <t>95_</t>
  </si>
  <si>
    <t>96_</t>
  </si>
  <si>
    <t>97_</t>
  </si>
  <si>
    <t>S_</t>
  </si>
  <si>
    <t>764_</t>
  </si>
  <si>
    <t>766_</t>
  </si>
  <si>
    <t>781_</t>
  </si>
  <si>
    <t>784_</t>
  </si>
  <si>
    <t>6_</t>
  </si>
  <si>
    <t>9_</t>
  </si>
  <si>
    <t>76_</t>
  </si>
  <si>
    <t>78_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</si>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</sst>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25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4" fillId="2" borderId="7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8" fillId="2" borderId="7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left" vertical="center"/>
      <protection/>
    </xf>
    <xf numFmtId="0" fontId="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8" fillId="2" borderId="7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7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7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center" vertical="center"/>
      <protection/>
    </xf>
    <xf numFmtId="49" fontId="12" fillId="3" borderId="31" xfId="0" applyNumberFormat="1" applyFont="1" applyFill="1" applyBorder="1" applyAlignment="1" applyProtection="1">
      <alignment horizontal="center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/>
      <protection/>
    </xf>
    <xf numFmtId="49" fontId="13" fillId="3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49" fontId="14" fillId="0" borderId="36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49" fontId="7" fillId="0" borderId="7" xfId="0" applyNumberFormat="1" applyFont="1" applyFill="1" applyBorder="1" applyAlignment="1" applyProtection="1">
      <alignment horizontal="left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left" vertical="center"/>
      <protection/>
    </xf>
    <xf numFmtId="49" fontId="14" fillId="0" borderId="31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0" fontId="13" fillId="3" borderId="30" xfId="0" applyNumberFormat="1" applyFont="1" applyFill="1" applyBorder="1" applyAlignment="1" applyProtection="1">
      <alignment horizontal="left" vertical="center"/>
      <protection/>
    </xf>
    <xf numFmtId="0" fontId="14" fillId="0" borderId="7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4" fillId="0" borderId="39" xfId="0" applyNumberFormat="1" applyFont="1" applyFill="1" applyBorder="1" applyAlignment="1" applyProtection="1">
      <alignment horizontal="left" vertical="center"/>
      <protection/>
    </xf>
    <xf numFmtId="0" fontId="14" fillId="0" borderId="40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" fontId="14" fillId="0" borderId="31" xfId="0" applyNumberFormat="1" applyFont="1" applyFill="1" applyBorder="1" applyAlignment="1" applyProtection="1">
      <alignment horizontal="right" vertical="center"/>
      <protection/>
    </xf>
    <xf numFmtId="49" fontId="14" fillId="0" borderId="31" xfId="0" applyNumberFormat="1" applyFont="1" applyFill="1" applyBorder="1" applyAlignment="1" applyProtection="1">
      <alignment horizontal="right" vertical="center"/>
      <protection/>
    </xf>
    <xf numFmtId="4" fontId="14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42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3" fillId="3" borderId="38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49" fontId="2" fillId="0" borderId="1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7"/>
  <sheetViews>
    <sheetView tabSelected="1" workbookViewId="0" topLeftCell="A1">
      <selection activeCell="A1" sqref="A1:M1"/>
    </sheetView>
  </sheetViews>
  <sheetFormatPr defaultColWidth="11.57421875" defaultRowHeight="12.75"/>
  <cols>
    <col min="1" max="1" width="3.7109375" customWidth="1"/>
    <col min="2" max="2" width="6.8515625" customWidth="1"/>
    <col min="3" max="3" width="13.28125" customWidth="1"/>
    <col min="4" max="4" width="48.28125" customWidth="1"/>
    <col min="5" max="5" width="4.28125" customWidth="1"/>
    <col min="6" max="6" width="12.8515625" customWidth="1"/>
    <col min="7" max="7" width="12.00390625" customWidth="1"/>
    <col min="8" max="10" width="14.28125" customWidth="1"/>
    <col min="11" max="13" width="11.7109375" customWidth="1"/>
    <col min="14" max="14" width="0" hidden="1" customWidth="1"/>
    <col min="15" max="48" width="12.140625" hidden="1" customWidth="1"/>
  </cols>
  <sheetData>
    <row r="1" spans="1:13" ht="72.75" customHeight="1">
      <c r="A1" s="124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2.75">
      <c r="A2" s="3" t="s">
        <v>1</v>
      </c>
      <c r="B2" s="18"/>
      <c r="C2" s="18"/>
      <c r="D2" s="26" t="s">
        <v>111</v>
      </c>
      <c r="E2" s="31" t="s">
        <v>192</v>
      </c>
      <c r="F2" s="18"/>
      <c r="G2" s="31"/>
      <c r="H2" s="18"/>
      <c r="I2" s="47" t="s">
        <v>208</v>
      </c>
      <c r="J2" s="47"/>
      <c r="K2" s="18"/>
      <c r="L2" s="18"/>
      <c r="M2" s="55"/>
      <c r="N2" s="63"/>
    </row>
    <row r="3" spans="1:14" ht="12.75">
      <c r="A3" s="4"/>
      <c r="B3" s="19"/>
      <c r="C3" s="19"/>
      <c r="D3" s="27"/>
      <c r="E3" s="19"/>
      <c r="F3" s="19"/>
      <c r="G3" s="19"/>
      <c r="H3" s="19"/>
      <c r="I3" s="19"/>
      <c r="J3" s="19"/>
      <c r="K3" s="19"/>
      <c r="L3" s="19"/>
      <c r="M3" s="56"/>
      <c r="N3" s="63"/>
    </row>
    <row r="4" spans="1:14" ht="12.75">
      <c r="A4" s="5" t="s">
        <v>2</v>
      </c>
      <c r="B4" s="19"/>
      <c r="C4" s="19"/>
      <c r="D4" s="16"/>
      <c r="E4" s="32" t="s">
        <v>193</v>
      </c>
      <c r="F4" s="19"/>
      <c r="G4" s="32" t="s">
        <v>6</v>
      </c>
      <c r="H4" s="19"/>
      <c r="I4" s="16" t="s">
        <v>209</v>
      </c>
      <c r="J4" s="16"/>
      <c r="K4" s="19"/>
      <c r="L4" s="19"/>
      <c r="M4" s="56"/>
      <c r="N4" s="63"/>
    </row>
    <row r="5" spans="1:14" ht="12.75">
      <c r="A5" s="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56"/>
      <c r="N5" s="63"/>
    </row>
    <row r="6" spans="1:14" ht="12.75">
      <c r="A6" s="5" t="s">
        <v>3</v>
      </c>
      <c r="B6" s="19"/>
      <c r="C6" s="19"/>
      <c r="D6" s="16" t="s">
        <v>112</v>
      </c>
      <c r="E6" s="32" t="s">
        <v>194</v>
      </c>
      <c r="F6" s="19"/>
      <c r="G6" s="19"/>
      <c r="H6" s="19"/>
      <c r="I6" s="16" t="s">
        <v>210</v>
      </c>
      <c r="J6" s="16"/>
      <c r="K6" s="19"/>
      <c r="L6" s="19"/>
      <c r="M6" s="56"/>
      <c r="N6" s="63"/>
    </row>
    <row r="7" spans="1:14" ht="12.75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56"/>
      <c r="N7" s="63"/>
    </row>
    <row r="8" spans="1:14" ht="12.75">
      <c r="A8" s="5" t="s">
        <v>4</v>
      </c>
      <c r="B8" s="19"/>
      <c r="C8" s="19"/>
      <c r="D8" s="16"/>
      <c r="E8" s="32" t="s">
        <v>195</v>
      </c>
      <c r="F8" s="19"/>
      <c r="G8" s="41">
        <v>42754</v>
      </c>
      <c r="H8" s="19"/>
      <c r="I8" s="16" t="s">
        <v>211</v>
      </c>
      <c r="J8" s="16" t="s">
        <v>213</v>
      </c>
      <c r="K8" s="19"/>
      <c r="L8" s="19"/>
      <c r="M8" s="56"/>
      <c r="N8" s="63"/>
    </row>
    <row r="9" spans="1:14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57"/>
      <c r="N9" s="63"/>
    </row>
    <row r="10" spans="1:14" ht="12.75">
      <c r="A10" s="7" t="s">
        <v>5</v>
      </c>
      <c r="B10" s="21" t="s">
        <v>53</v>
      </c>
      <c r="C10" s="21" t="s">
        <v>54</v>
      </c>
      <c r="D10" s="21" t="s">
        <v>113</v>
      </c>
      <c r="E10" s="21" t="s">
        <v>196</v>
      </c>
      <c r="F10" s="36" t="s">
        <v>202</v>
      </c>
      <c r="G10" s="42" t="s">
        <v>203</v>
      </c>
      <c r="H10" s="44" t="s">
        <v>205</v>
      </c>
      <c r="I10" s="48"/>
      <c r="J10" s="51"/>
      <c r="K10" s="44" t="s">
        <v>215</v>
      </c>
      <c r="L10" s="51"/>
      <c r="M10" s="58" t="s">
        <v>216</v>
      </c>
      <c r="N10" s="64"/>
    </row>
    <row r="11" spans="1:24" ht="12.75">
      <c r="A11" s="8" t="s">
        <v>6</v>
      </c>
      <c r="B11" s="22" t="s">
        <v>6</v>
      </c>
      <c r="C11" s="22" t="s">
        <v>6</v>
      </c>
      <c r="D11" s="28" t="s">
        <v>114</v>
      </c>
      <c r="E11" s="22" t="s">
        <v>6</v>
      </c>
      <c r="F11" s="22" t="s">
        <v>6</v>
      </c>
      <c r="G11" s="43" t="s">
        <v>204</v>
      </c>
      <c r="H11" s="45" t="s">
        <v>206</v>
      </c>
      <c r="I11" s="49" t="s">
        <v>212</v>
      </c>
      <c r="J11" s="52" t="s">
        <v>214</v>
      </c>
      <c r="K11" s="45" t="s">
        <v>203</v>
      </c>
      <c r="L11" s="52" t="s">
        <v>214</v>
      </c>
      <c r="M11" s="59" t="s">
        <v>217</v>
      </c>
      <c r="N11" s="64"/>
      <c r="P11" s="54" t="s">
        <v>219</v>
      </c>
      <c r="Q11" s="54" t="s">
        <v>220</v>
      </c>
      <c r="R11" s="54" t="s">
        <v>221</v>
      </c>
      <c r="S11" s="54" t="s">
        <v>222</v>
      </c>
      <c r="T11" s="54" t="s">
        <v>223</v>
      </c>
      <c r="U11" s="54" t="s">
        <v>224</v>
      </c>
      <c r="V11" s="54" t="s">
        <v>225</v>
      </c>
      <c r="W11" s="54" t="s">
        <v>226</v>
      </c>
      <c r="X11" s="54" t="s">
        <v>227</v>
      </c>
    </row>
    <row r="12" spans="1:37" ht="12.75">
      <c r="A12" s="9"/>
      <c r="B12" s="23"/>
      <c r="C12" s="23" t="s">
        <v>55</v>
      </c>
      <c r="D12" s="23" t="s">
        <v>115</v>
      </c>
      <c r="E12" s="33"/>
      <c r="F12" s="33"/>
      <c r="G12" s="33"/>
      <c r="H12" s="67">
        <f>SUM(H13:H16)</f>
        <v>0</v>
      </c>
      <c r="I12" s="67">
        <f>SUM(I13:I16)</f>
        <v>0</v>
      </c>
      <c r="J12" s="67">
        <f>H12+I12</f>
        <v>0</v>
      </c>
      <c r="K12" s="53"/>
      <c r="L12" s="67">
        <f>SUM(L13:L16)</f>
        <v>6.9065621</v>
      </c>
      <c r="M12" s="53"/>
      <c r="Y12" s="54"/>
      <c r="AI12" s="68">
        <f>SUM(Z13:Z16)</f>
        <v>0</v>
      </c>
      <c r="AJ12" s="68">
        <f>SUM(AA13:AA16)</f>
        <v>0</v>
      </c>
      <c r="AK12" s="68">
        <f>SUM(AB13:AB16)</f>
        <v>0</v>
      </c>
    </row>
    <row r="13" spans="1:48" ht="12.75">
      <c r="A13" s="10" t="s">
        <v>7</v>
      </c>
      <c r="B13" s="10"/>
      <c r="C13" s="10" t="s">
        <v>56</v>
      </c>
      <c r="D13" s="10" t="s">
        <v>116</v>
      </c>
      <c r="E13" s="10" t="s">
        <v>197</v>
      </c>
      <c r="F13" s="37">
        <v>776.27</v>
      </c>
      <c r="G13" s="37">
        <v>0</v>
      </c>
      <c r="H13" s="37">
        <f>F13*AE13</f>
        <v>0</v>
      </c>
      <c r="I13" s="37">
        <f>J13-H13</f>
        <v>0</v>
      </c>
      <c r="J13" s="37">
        <f>F13*G13</f>
        <v>0</v>
      </c>
      <c r="K13" s="37">
        <v>0.00371</v>
      </c>
      <c r="L13" s="37">
        <f>F13*K13</f>
        <v>2.8799617</v>
      </c>
      <c r="M13" s="60" t="s">
        <v>218</v>
      </c>
      <c r="P13" s="65">
        <f>IF(AG13="5",J13,0)</f>
        <v>0</v>
      </c>
      <c r="R13" s="65">
        <f>IF(AG13="1",H13,0)</f>
        <v>0</v>
      </c>
      <c r="S13" s="65">
        <f>IF(AG13="1",I13,0)</f>
        <v>0</v>
      </c>
      <c r="T13" s="65">
        <f>IF(AG13="7",H13,0)</f>
        <v>0</v>
      </c>
      <c r="U13" s="65">
        <f>IF(AG13="7",I13,0)</f>
        <v>0</v>
      </c>
      <c r="V13" s="65">
        <f>IF(AG13="2",H13,0)</f>
        <v>0</v>
      </c>
      <c r="W13" s="65">
        <f>IF(AG13="2",I13,0)</f>
        <v>0</v>
      </c>
      <c r="X13" s="65">
        <f>IF(AG13="0",J13,0)</f>
        <v>0</v>
      </c>
      <c r="Y13" s="54"/>
      <c r="Z13" s="37">
        <f>IF(AD13=0,J13,0)</f>
        <v>0</v>
      </c>
      <c r="AA13" s="37">
        <f>IF(AD13=15,J13,0)</f>
        <v>0</v>
      </c>
      <c r="AB13" s="37">
        <f>IF(AD13=21,J13,0)</f>
        <v>0</v>
      </c>
      <c r="AD13" s="65">
        <v>15</v>
      </c>
      <c r="AE13" s="65">
        <f>G13*0.0605657237936772</f>
        <v>0</v>
      </c>
      <c r="AF13" s="65">
        <f>G13*(1-0.0605657237936772)</f>
        <v>0</v>
      </c>
      <c r="AG13" s="60" t="s">
        <v>7</v>
      </c>
      <c r="AM13" s="65">
        <f>F13*AE13</f>
        <v>0</v>
      </c>
      <c r="AN13" s="65">
        <f>F13*AF13</f>
        <v>0</v>
      </c>
      <c r="AO13" s="66" t="s">
        <v>228</v>
      </c>
      <c r="AP13" s="66" t="s">
        <v>240</v>
      </c>
      <c r="AQ13" s="54" t="s">
        <v>244</v>
      </c>
      <c r="AS13" s="65">
        <f>AM13+AN13</f>
        <v>0</v>
      </c>
      <c r="AT13" s="65">
        <f>G13/(100-AU13)*100</f>
        <v>0</v>
      </c>
      <c r="AU13" s="65">
        <v>0</v>
      </c>
      <c r="AV13" s="65">
        <f>L13</f>
        <v>2.8799617</v>
      </c>
    </row>
    <row r="14" spans="3:13" ht="12.75">
      <c r="C14" s="25" t="s">
        <v>52</v>
      </c>
      <c r="D14" s="29" t="s">
        <v>117</v>
      </c>
      <c r="E14" s="34"/>
      <c r="F14" s="34"/>
      <c r="G14" s="34"/>
      <c r="H14" s="34"/>
      <c r="I14" s="34"/>
      <c r="J14" s="34"/>
      <c r="K14" s="34"/>
      <c r="L14" s="34"/>
      <c r="M14" s="34"/>
    </row>
    <row r="15" spans="1:48" ht="12.75">
      <c r="A15" s="10" t="s">
        <v>8</v>
      </c>
      <c r="B15" s="10"/>
      <c r="C15" s="10" t="s">
        <v>57</v>
      </c>
      <c r="D15" s="10" t="s">
        <v>118</v>
      </c>
      <c r="E15" s="10" t="s">
        <v>198</v>
      </c>
      <c r="F15" s="37">
        <v>74.72</v>
      </c>
      <c r="G15" s="37">
        <v>0</v>
      </c>
      <c r="H15" s="37">
        <f>F15*AE15</f>
        <v>0</v>
      </c>
      <c r="I15" s="37">
        <f>J15-H15</f>
        <v>0</v>
      </c>
      <c r="J15" s="37">
        <f>F15*G15</f>
        <v>0</v>
      </c>
      <c r="K15" s="37">
        <v>0.05369</v>
      </c>
      <c r="L15" s="37">
        <f>F15*K15</f>
        <v>4.0117168</v>
      </c>
      <c r="M15" s="60" t="s">
        <v>218</v>
      </c>
      <c r="P15" s="65">
        <f>IF(AG15="5",J15,0)</f>
        <v>0</v>
      </c>
      <c r="R15" s="65">
        <f>IF(AG15="1",H15,0)</f>
        <v>0</v>
      </c>
      <c r="S15" s="65">
        <f>IF(AG15="1",I15,0)</f>
        <v>0</v>
      </c>
      <c r="T15" s="65">
        <f>IF(AG15="7",H15,0)</f>
        <v>0</v>
      </c>
      <c r="U15" s="65">
        <f>IF(AG15="7",I15,0)</f>
        <v>0</v>
      </c>
      <c r="V15" s="65">
        <f>IF(AG15="2",H15,0)</f>
        <v>0</v>
      </c>
      <c r="W15" s="65">
        <f>IF(AG15="2",I15,0)</f>
        <v>0</v>
      </c>
      <c r="X15" s="65">
        <f>IF(AG15="0",J15,0)</f>
        <v>0</v>
      </c>
      <c r="Y15" s="54"/>
      <c r="Z15" s="37">
        <f>IF(AD15=0,J15,0)</f>
        <v>0</v>
      </c>
      <c r="AA15" s="37">
        <f>IF(AD15=15,J15,0)</f>
        <v>0</v>
      </c>
      <c r="AB15" s="37">
        <f>IF(AD15=21,J15,0)</f>
        <v>0</v>
      </c>
      <c r="AD15" s="65">
        <v>15</v>
      </c>
      <c r="AE15" s="65">
        <f>G15*0.178960302457467</f>
        <v>0</v>
      </c>
      <c r="AF15" s="65">
        <f>G15*(1-0.178960302457467)</f>
        <v>0</v>
      </c>
      <c r="AG15" s="60" t="s">
        <v>7</v>
      </c>
      <c r="AM15" s="65">
        <f>F15*AE15</f>
        <v>0</v>
      </c>
      <c r="AN15" s="65">
        <f>F15*AF15</f>
        <v>0</v>
      </c>
      <c r="AO15" s="66" t="s">
        <v>228</v>
      </c>
      <c r="AP15" s="66" t="s">
        <v>240</v>
      </c>
      <c r="AQ15" s="54" t="s">
        <v>244</v>
      </c>
      <c r="AS15" s="65">
        <f>AM15+AN15</f>
        <v>0</v>
      </c>
      <c r="AT15" s="65">
        <f>G15/(100-AU15)*100</f>
        <v>0</v>
      </c>
      <c r="AU15" s="65">
        <v>0</v>
      </c>
      <c r="AV15" s="65">
        <f>L15</f>
        <v>4.0117168</v>
      </c>
    </row>
    <row r="16" spans="1:48" ht="12.75">
      <c r="A16" s="10" t="s">
        <v>9</v>
      </c>
      <c r="B16" s="10"/>
      <c r="C16" s="10" t="s">
        <v>58</v>
      </c>
      <c r="D16" s="10" t="s">
        <v>119</v>
      </c>
      <c r="E16" s="10" t="s">
        <v>198</v>
      </c>
      <c r="F16" s="37">
        <v>372.09</v>
      </c>
      <c r="G16" s="37">
        <v>0</v>
      </c>
      <c r="H16" s="37">
        <f>F16*AE16</f>
        <v>0</v>
      </c>
      <c r="I16" s="37">
        <f>J16-H16</f>
        <v>0</v>
      </c>
      <c r="J16" s="37">
        <f>F16*G16</f>
        <v>0</v>
      </c>
      <c r="K16" s="37">
        <v>4E-05</v>
      </c>
      <c r="L16" s="37">
        <f>F16*K16</f>
        <v>0.0148836</v>
      </c>
      <c r="M16" s="60" t="s">
        <v>218</v>
      </c>
      <c r="P16" s="65">
        <f>IF(AG16="5",J16,0)</f>
        <v>0</v>
      </c>
      <c r="R16" s="65">
        <f>IF(AG16="1",H16,0)</f>
        <v>0</v>
      </c>
      <c r="S16" s="65">
        <f>IF(AG16="1",I16,0)</f>
        <v>0</v>
      </c>
      <c r="T16" s="65">
        <f>IF(AG16="7",H16,0)</f>
        <v>0</v>
      </c>
      <c r="U16" s="65">
        <f>IF(AG16="7",I16,0)</f>
        <v>0</v>
      </c>
      <c r="V16" s="65">
        <f>IF(AG16="2",H16,0)</f>
        <v>0</v>
      </c>
      <c r="W16" s="65">
        <f>IF(AG16="2",I16,0)</f>
        <v>0</v>
      </c>
      <c r="X16" s="65">
        <f>IF(AG16="0",J16,0)</f>
        <v>0</v>
      </c>
      <c r="Y16" s="54"/>
      <c r="Z16" s="37">
        <f>IF(AD16=0,J16,0)</f>
        <v>0</v>
      </c>
      <c r="AA16" s="37">
        <f>IF(AD16=15,J16,0)</f>
        <v>0</v>
      </c>
      <c r="AB16" s="37">
        <f>IF(AD16=21,J16,0)</f>
        <v>0</v>
      </c>
      <c r="AD16" s="65">
        <v>15</v>
      </c>
      <c r="AE16" s="65">
        <f>G16*0.362200579099763</f>
        <v>0</v>
      </c>
      <c r="AF16" s="65">
        <f>G16*(1-0.362200579099763)</f>
        <v>0</v>
      </c>
      <c r="AG16" s="60" t="s">
        <v>7</v>
      </c>
      <c r="AM16" s="65">
        <f>F16*AE16</f>
        <v>0</v>
      </c>
      <c r="AN16" s="65">
        <f>F16*AF16</f>
        <v>0</v>
      </c>
      <c r="AO16" s="66" t="s">
        <v>228</v>
      </c>
      <c r="AP16" s="66" t="s">
        <v>240</v>
      </c>
      <c r="AQ16" s="54" t="s">
        <v>244</v>
      </c>
      <c r="AS16" s="65">
        <f>AM16+AN16</f>
        <v>0</v>
      </c>
      <c r="AT16" s="65">
        <f>G16/(100-AU16)*100</f>
        <v>0</v>
      </c>
      <c r="AU16" s="65">
        <v>0</v>
      </c>
      <c r="AV16" s="65">
        <f>L16</f>
        <v>0.0148836</v>
      </c>
    </row>
    <row r="17" spans="1:37" ht="12.75">
      <c r="A17" s="11"/>
      <c r="B17" s="24"/>
      <c r="C17" s="24" t="s">
        <v>59</v>
      </c>
      <c r="D17" s="24" t="s">
        <v>120</v>
      </c>
      <c r="E17" s="35"/>
      <c r="F17" s="35"/>
      <c r="G17" s="35"/>
      <c r="H17" s="68">
        <f>SUM(H18:H18)</f>
        <v>0</v>
      </c>
      <c r="I17" s="68">
        <f>SUM(I18:I18)</f>
        <v>0</v>
      </c>
      <c r="J17" s="68">
        <f>H17+I17</f>
        <v>0</v>
      </c>
      <c r="K17" s="54"/>
      <c r="L17" s="68">
        <f>SUM(L18:L18)</f>
        <v>0.048173796000000005</v>
      </c>
      <c r="M17" s="54"/>
      <c r="Y17" s="54"/>
      <c r="AI17" s="68">
        <f>SUM(Z18:Z18)</f>
        <v>0</v>
      </c>
      <c r="AJ17" s="68">
        <f>SUM(AA18:AA18)</f>
        <v>0</v>
      </c>
      <c r="AK17" s="68">
        <f>SUM(AB18:AB18)</f>
        <v>0</v>
      </c>
    </row>
    <row r="18" spans="1:48" ht="12.75">
      <c r="A18" s="10" t="s">
        <v>10</v>
      </c>
      <c r="B18" s="10"/>
      <c r="C18" s="10" t="s">
        <v>60</v>
      </c>
      <c r="D18" s="10" t="s">
        <v>121</v>
      </c>
      <c r="E18" s="10" t="s">
        <v>198</v>
      </c>
      <c r="F18" s="37">
        <v>0.9162</v>
      </c>
      <c r="G18" s="37">
        <v>0</v>
      </c>
      <c r="H18" s="37">
        <f>F18*AE18</f>
        <v>0</v>
      </c>
      <c r="I18" s="37">
        <f>J18-H18</f>
        <v>0</v>
      </c>
      <c r="J18" s="37">
        <f>F18*G18</f>
        <v>0</v>
      </c>
      <c r="K18" s="37">
        <v>0.05258</v>
      </c>
      <c r="L18" s="37">
        <f>F18*K18</f>
        <v>0.048173796000000005</v>
      </c>
      <c r="M18" s="60" t="s">
        <v>218</v>
      </c>
      <c r="P18" s="65">
        <f>IF(AG18="5",J18,0)</f>
        <v>0</v>
      </c>
      <c r="R18" s="65">
        <f>IF(AG18="1",H18,0)</f>
        <v>0</v>
      </c>
      <c r="S18" s="65">
        <f>IF(AG18="1",I18,0)</f>
        <v>0</v>
      </c>
      <c r="T18" s="65">
        <f>IF(AG18="7",H18,0)</f>
        <v>0</v>
      </c>
      <c r="U18" s="65">
        <f>IF(AG18="7",I18,0)</f>
        <v>0</v>
      </c>
      <c r="V18" s="65">
        <f>IF(AG18="2",H18,0)</f>
        <v>0</v>
      </c>
      <c r="W18" s="65">
        <f>IF(AG18="2",I18,0)</f>
        <v>0</v>
      </c>
      <c r="X18" s="65">
        <f>IF(AG18="0",J18,0)</f>
        <v>0</v>
      </c>
      <c r="Y18" s="54"/>
      <c r="Z18" s="37">
        <f>IF(AD18=0,J18,0)</f>
        <v>0</v>
      </c>
      <c r="AA18" s="37">
        <f>IF(AD18=15,J18,0)</f>
        <v>0</v>
      </c>
      <c r="AB18" s="37">
        <f>IF(AD18=21,J18,0)</f>
        <v>0</v>
      </c>
      <c r="AD18" s="65">
        <v>15</v>
      </c>
      <c r="AE18" s="65">
        <f>G18*0.124030037546934</f>
        <v>0</v>
      </c>
      <c r="AF18" s="65">
        <f>G18*(1-0.124030037546934)</f>
        <v>0</v>
      </c>
      <c r="AG18" s="60" t="s">
        <v>7</v>
      </c>
      <c r="AM18" s="65">
        <f>F18*AE18</f>
        <v>0</v>
      </c>
      <c r="AN18" s="65">
        <f>F18*AF18</f>
        <v>0</v>
      </c>
      <c r="AO18" s="66" t="s">
        <v>229</v>
      </c>
      <c r="AP18" s="66" t="s">
        <v>240</v>
      </c>
      <c r="AQ18" s="54" t="s">
        <v>244</v>
      </c>
      <c r="AS18" s="65">
        <f>AM18+AN18</f>
        <v>0</v>
      </c>
      <c r="AT18" s="65">
        <f>G18/(100-AU18)*100</f>
        <v>0</v>
      </c>
      <c r="AU18" s="65">
        <v>0</v>
      </c>
      <c r="AV18" s="65">
        <f>L18</f>
        <v>0.048173796000000005</v>
      </c>
    </row>
    <row r="19" spans="4:6" ht="12.75">
      <c r="D19" s="30" t="s">
        <v>122</v>
      </c>
      <c r="F19" s="38">
        <v>0.9162</v>
      </c>
    </row>
    <row r="20" spans="3:13" ht="12.75">
      <c r="C20" s="25" t="s">
        <v>52</v>
      </c>
      <c r="D20" s="29" t="s">
        <v>123</v>
      </c>
      <c r="E20" s="34"/>
      <c r="F20" s="34"/>
      <c r="G20" s="34"/>
      <c r="H20" s="34"/>
      <c r="I20" s="34"/>
      <c r="J20" s="34"/>
      <c r="K20" s="34"/>
      <c r="L20" s="34"/>
      <c r="M20" s="34"/>
    </row>
    <row r="21" spans="1:37" ht="12.75">
      <c r="A21" s="11"/>
      <c r="B21" s="24"/>
      <c r="C21" s="24" t="s">
        <v>61</v>
      </c>
      <c r="D21" s="24" t="s">
        <v>124</v>
      </c>
      <c r="E21" s="35"/>
      <c r="F21" s="35"/>
      <c r="G21" s="35"/>
      <c r="H21" s="68">
        <f>SUM(H22:H28)</f>
        <v>0</v>
      </c>
      <c r="I21" s="68">
        <f>SUM(I22:I28)</f>
        <v>0</v>
      </c>
      <c r="J21" s="68">
        <f>H21+I21</f>
        <v>0</v>
      </c>
      <c r="K21" s="54"/>
      <c r="L21" s="68">
        <f>SUM(L22:L28)</f>
        <v>0.9401891999999998</v>
      </c>
      <c r="M21" s="54"/>
      <c r="Y21" s="54"/>
      <c r="AI21" s="68">
        <f>SUM(Z22:Z28)</f>
        <v>0</v>
      </c>
      <c r="AJ21" s="68">
        <f>SUM(AA22:AA28)</f>
        <v>0</v>
      </c>
      <c r="AK21" s="68">
        <f>SUM(AB22:AB28)</f>
        <v>0</v>
      </c>
    </row>
    <row r="22" spans="1:48" ht="12.75">
      <c r="A22" s="10" t="s">
        <v>11</v>
      </c>
      <c r="B22" s="10"/>
      <c r="C22" s="10" t="s">
        <v>62</v>
      </c>
      <c r="D22" s="10" t="s">
        <v>125</v>
      </c>
      <c r="E22" s="10" t="s">
        <v>197</v>
      </c>
      <c r="F22" s="37">
        <v>28.8</v>
      </c>
      <c r="G22" s="37">
        <v>0</v>
      </c>
      <c r="H22" s="37">
        <f>F22*AE22</f>
        <v>0</v>
      </c>
      <c r="I22" s="37">
        <f>J22-H22</f>
        <v>0</v>
      </c>
      <c r="J22" s="37">
        <f>F22*G22</f>
        <v>0</v>
      </c>
      <c r="K22" s="37">
        <v>0.00551</v>
      </c>
      <c r="L22" s="37">
        <f>F22*K22</f>
        <v>0.158688</v>
      </c>
      <c r="M22" s="60" t="s">
        <v>218</v>
      </c>
      <c r="P22" s="65">
        <f>IF(AG22="5",J22,0)</f>
        <v>0</v>
      </c>
      <c r="R22" s="65">
        <f>IF(AG22="1",H22,0)</f>
        <v>0</v>
      </c>
      <c r="S22" s="65">
        <f>IF(AG22="1",I22,0)</f>
        <v>0</v>
      </c>
      <c r="T22" s="65">
        <f>IF(AG22="7",H22,0)</f>
        <v>0</v>
      </c>
      <c r="U22" s="65">
        <f>IF(AG22="7",I22,0)</f>
        <v>0</v>
      </c>
      <c r="V22" s="65">
        <f>IF(AG22="2",H22,0)</f>
        <v>0</v>
      </c>
      <c r="W22" s="65">
        <f>IF(AG22="2",I22,0)</f>
        <v>0</v>
      </c>
      <c r="X22" s="65">
        <f>IF(AG22="0",J22,0)</f>
        <v>0</v>
      </c>
      <c r="Y22" s="54"/>
      <c r="Z22" s="37">
        <f>IF(AD22=0,J22,0)</f>
        <v>0</v>
      </c>
      <c r="AA22" s="37">
        <f>IF(AD22=15,J22,0)</f>
        <v>0</v>
      </c>
      <c r="AB22" s="37">
        <f>IF(AD22=21,J22,0)</f>
        <v>0</v>
      </c>
      <c r="AD22" s="65">
        <v>15</v>
      </c>
      <c r="AE22" s="65">
        <f>G22*0.545496894409938</f>
        <v>0</v>
      </c>
      <c r="AF22" s="65">
        <f>G22*(1-0.545496894409938)</f>
        <v>0</v>
      </c>
      <c r="AG22" s="60" t="s">
        <v>7</v>
      </c>
      <c r="AM22" s="65">
        <f>F22*AE22</f>
        <v>0</v>
      </c>
      <c r="AN22" s="65">
        <f>F22*AF22</f>
        <v>0</v>
      </c>
      <c r="AO22" s="66" t="s">
        <v>230</v>
      </c>
      <c r="AP22" s="66" t="s">
        <v>240</v>
      </c>
      <c r="AQ22" s="54" t="s">
        <v>244</v>
      </c>
      <c r="AS22" s="65">
        <f>AM22+AN22</f>
        <v>0</v>
      </c>
      <c r="AT22" s="65">
        <f>G22/(100-AU22)*100</f>
        <v>0</v>
      </c>
      <c r="AU22" s="65">
        <v>0</v>
      </c>
      <c r="AV22" s="65">
        <f>L22</f>
        <v>0.158688</v>
      </c>
    </row>
    <row r="23" spans="3:13" ht="12.75">
      <c r="C23" s="25" t="s">
        <v>52</v>
      </c>
      <c r="D23" s="29" t="s">
        <v>126</v>
      </c>
      <c r="E23" s="34"/>
      <c r="F23" s="34"/>
      <c r="G23" s="34"/>
      <c r="H23" s="34"/>
      <c r="I23" s="34"/>
      <c r="J23" s="34"/>
      <c r="K23" s="34"/>
      <c r="L23" s="34"/>
      <c r="M23" s="34"/>
    </row>
    <row r="24" spans="1:48" ht="12.75">
      <c r="A24" s="10" t="s">
        <v>12</v>
      </c>
      <c r="B24" s="10"/>
      <c r="C24" s="10" t="s">
        <v>63</v>
      </c>
      <c r="D24" s="10" t="s">
        <v>125</v>
      </c>
      <c r="E24" s="10" t="s">
        <v>197</v>
      </c>
      <c r="F24" s="37">
        <v>108.27</v>
      </c>
      <c r="G24" s="37">
        <v>0</v>
      </c>
      <c r="H24" s="37">
        <f>F24*AE24</f>
        <v>0</v>
      </c>
      <c r="I24" s="37">
        <f>J24-H24</f>
        <v>0</v>
      </c>
      <c r="J24" s="37">
        <f>F24*G24</f>
        <v>0</v>
      </c>
      <c r="K24" s="37">
        <v>0.00616</v>
      </c>
      <c r="L24" s="37">
        <f>F24*K24</f>
        <v>0.6669432</v>
      </c>
      <c r="M24" s="60" t="s">
        <v>218</v>
      </c>
      <c r="P24" s="65">
        <f>IF(AG24="5",J24,0)</f>
        <v>0</v>
      </c>
      <c r="R24" s="65">
        <f>IF(AG24="1",H24,0)</f>
        <v>0</v>
      </c>
      <c r="S24" s="65">
        <f>IF(AG24="1",I24,0)</f>
        <v>0</v>
      </c>
      <c r="T24" s="65">
        <f>IF(AG24="7",H24,0)</f>
        <v>0</v>
      </c>
      <c r="U24" s="65">
        <f>IF(AG24="7",I24,0)</f>
        <v>0</v>
      </c>
      <c r="V24" s="65">
        <f>IF(AG24="2",H24,0)</f>
        <v>0</v>
      </c>
      <c r="W24" s="65">
        <f>IF(AG24="2",I24,0)</f>
        <v>0</v>
      </c>
      <c r="X24" s="65">
        <f>IF(AG24="0",J24,0)</f>
        <v>0</v>
      </c>
      <c r="Y24" s="54"/>
      <c r="Z24" s="37">
        <f>IF(AD24=0,J24,0)</f>
        <v>0</v>
      </c>
      <c r="AA24" s="37">
        <f>IF(AD24=15,J24,0)</f>
        <v>0</v>
      </c>
      <c r="AB24" s="37">
        <f>IF(AD24=21,J24,0)</f>
        <v>0</v>
      </c>
      <c r="AD24" s="65">
        <v>15</v>
      </c>
      <c r="AE24" s="65">
        <f>G24*0.553810975609756</f>
        <v>0</v>
      </c>
      <c r="AF24" s="65">
        <f>G24*(1-0.553810975609756)</f>
        <v>0</v>
      </c>
      <c r="AG24" s="60" t="s">
        <v>7</v>
      </c>
      <c r="AM24" s="65">
        <f>F24*AE24</f>
        <v>0</v>
      </c>
      <c r="AN24" s="65">
        <f>F24*AF24</f>
        <v>0</v>
      </c>
      <c r="AO24" s="66" t="s">
        <v>230</v>
      </c>
      <c r="AP24" s="66" t="s">
        <v>240</v>
      </c>
      <c r="AQ24" s="54" t="s">
        <v>244</v>
      </c>
      <c r="AS24" s="65">
        <f>AM24+AN24</f>
        <v>0</v>
      </c>
      <c r="AT24" s="65">
        <f>G24/(100-AU24)*100</f>
        <v>0</v>
      </c>
      <c r="AU24" s="65">
        <v>0</v>
      </c>
      <c r="AV24" s="65">
        <f>L24</f>
        <v>0.6669432</v>
      </c>
    </row>
    <row r="25" spans="3:13" ht="12.75">
      <c r="C25" s="25" t="s">
        <v>52</v>
      </c>
      <c r="D25" s="29" t="s">
        <v>127</v>
      </c>
      <c r="E25" s="34"/>
      <c r="F25" s="34"/>
      <c r="G25" s="34"/>
      <c r="H25" s="34"/>
      <c r="I25" s="34"/>
      <c r="J25" s="34"/>
      <c r="K25" s="34"/>
      <c r="L25" s="34"/>
      <c r="M25" s="34"/>
    </row>
    <row r="26" spans="1:48" ht="12.75">
      <c r="A26" s="10" t="s">
        <v>13</v>
      </c>
      <c r="B26" s="10"/>
      <c r="C26" s="10" t="s">
        <v>64</v>
      </c>
      <c r="D26" s="10" t="s">
        <v>125</v>
      </c>
      <c r="E26" s="10" t="s">
        <v>197</v>
      </c>
      <c r="F26" s="37">
        <v>12.68</v>
      </c>
      <c r="G26" s="37">
        <v>0</v>
      </c>
      <c r="H26" s="37">
        <f>F26*AE26</f>
        <v>0</v>
      </c>
      <c r="I26" s="37">
        <f>J26-H26</f>
        <v>0</v>
      </c>
      <c r="J26" s="37">
        <f>F26*G26</f>
        <v>0</v>
      </c>
      <c r="K26" s="37">
        <v>0.00681</v>
      </c>
      <c r="L26" s="37">
        <f>F26*K26</f>
        <v>0.0863508</v>
      </c>
      <c r="M26" s="60" t="s">
        <v>218</v>
      </c>
      <c r="P26" s="65">
        <f>IF(AG26="5",J26,0)</f>
        <v>0</v>
      </c>
      <c r="R26" s="65">
        <f>IF(AG26="1",H26,0)</f>
        <v>0</v>
      </c>
      <c r="S26" s="65">
        <f>IF(AG26="1",I26,0)</f>
        <v>0</v>
      </c>
      <c r="T26" s="65">
        <f>IF(AG26="7",H26,0)</f>
        <v>0</v>
      </c>
      <c r="U26" s="65">
        <f>IF(AG26="7",I26,0)</f>
        <v>0</v>
      </c>
      <c r="V26" s="65">
        <f>IF(AG26="2",H26,0)</f>
        <v>0</v>
      </c>
      <c r="W26" s="65">
        <f>IF(AG26="2",I26,0)</f>
        <v>0</v>
      </c>
      <c r="X26" s="65">
        <f>IF(AG26="0",J26,0)</f>
        <v>0</v>
      </c>
      <c r="Y26" s="54"/>
      <c r="Z26" s="37">
        <f>IF(AD26=0,J26,0)</f>
        <v>0</v>
      </c>
      <c r="AA26" s="37">
        <f>IF(AD26=15,J26,0)</f>
        <v>0</v>
      </c>
      <c r="AB26" s="37">
        <f>IF(AD26=21,J26,0)</f>
        <v>0</v>
      </c>
      <c r="AD26" s="65">
        <v>15</v>
      </c>
      <c r="AE26" s="65">
        <f>G26*0.583048433048433</f>
        <v>0</v>
      </c>
      <c r="AF26" s="65">
        <f>G26*(1-0.583048433048433)</f>
        <v>0</v>
      </c>
      <c r="AG26" s="60" t="s">
        <v>7</v>
      </c>
      <c r="AM26" s="65">
        <f>F26*AE26</f>
        <v>0</v>
      </c>
      <c r="AN26" s="65">
        <f>F26*AF26</f>
        <v>0</v>
      </c>
      <c r="AO26" s="66" t="s">
        <v>230</v>
      </c>
      <c r="AP26" s="66" t="s">
        <v>240</v>
      </c>
      <c r="AQ26" s="54" t="s">
        <v>244</v>
      </c>
      <c r="AS26" s="65">
        <f>AM26+AN26</f>
        <v>0</v>
      </c>
      <c r="AT26" s="65">
        <f>G26/(100-AU26)*100</f>
        <v>0</v>
      </c>
      <c r="AU26" s="65">
        <v>0</v>
      </c>
      <c r="AV26" s="65">
        <f>L26</f>
        <v>0.0863508</v>
      </c>
    </row>
    <row r="27" spans="3:13" ht="12.75">
      <c r="C27" s="25" t="s">
        <v>52</v>
      </c>
      <c r="D27" s="29" t="s">
        <v>128</v>
      </c>
      <c r="E27" s="34"/>
      <c r="F27" s="34"/>
      <c r="G27" s="34"/>
      <c r="H27" s="34"/>
      <c r="I27" s="34"/>
      <c r="J27" s="34"/>
      <c r="K27" s="34"/>
      <c r="L27" s="34"/>
      <c r="M27" s="34"/>
    </row>
    <row r="28" spans="1:48" ht="12.75">
      <c r="A28" s="10" t="s">
        <v>14</v>
      </c>
      <c r="B28" s="10"/>
      <c r="C28" s="10" t="s">
        <v>65</v>
      </c>
      <c r="D28" s="10" t="s">
        <v>125</v>
      </c>
      <c r="E28" s="10" t="s">
        <v>197</v>
      </c>
      <c r="F28" s="37">
        <v>3.22</v>
      </c>
      <c r="G28" s="37">
        <v>0</v>
      </c>
      <c r="H28" s="37">
        <f>F28*AE28</f>
        <v>0</v>
      </c>
      <c r="I28" s="37">
        <f>J28-H28</f>
        <v>0</v>
      </c>
      <c r="J28" s="37">
        <f>F28*G28</f>
        <v>0</v>
      </c>
      <c r="K28" s="37">
        <v>0.00876</v>
      </c>
      <c r="L28" s="37">
        <f>F28*K28</f>
        <v>0.0282072</v>
      </c>
      <c r="M28" s="60" t="s">
        <v>218</v>
      </c>
      <c r="P28" s="65">
        <f>IF(AG28="5",J28,0)</f>
        <v>0</v>
      </c>
      <c r="R28" s="65">
        <f>IF(AG28="1",H28,0)</f>
        <v>0</v>
      </c>
      <c r="S28" s="65">
        <f>IF(AG28="1",I28,0)</f>
        <v>0</v>
      </c>
      <c r="T28" s="65">
        <f>IF(AG28="7",H28,0)</f>
        <v>0</v>
      </c>
      <c r="U28" s="65">
        <f>IF(AG28="7",I28,0)</f>
        <v>0</v>
      </c>
      <c r="V28" s="65">
        <f>IF(AG28="2",H28,0)</f>
        <v>0</v>
      </c>
      <c r="W28" s="65">
        <f>IF(AG28="2",I28,0)</f>
        <v>0</v>
      </c>
      <c r="X28" s="65">
        <f>IF(AG28="0",J28,0)</f>
        <v>0</v>
      </c>
      <c r="Y28" s="54"/>
      <c r="Z28" s="37">
        <f>IF(AD28=0,J28,0)</f>
        <v>0</v>
      </c>
      <c r="AA28" s="37">
        <f>IF(AD28=15,J28,0)</f>
        <v>0</v>
      </c>
      <c r="AB28" s="37">
        <f>IF(AD28=21,J28,0)</f>
        <v>0</v>
      </c>
      <c r="AD28" s="65">
        <v>15</v>
      </c>
      <c r="AE28" s="65">
        <f>G28*0.66239907727797</f>
        <v>0</v>
      </c>
      <c r="AF28" s="65">
        <f>G28*(1-0.66239907727797)</f>
        <v>0</v>
      </c>
      <c r="AG28" s="60" t="s">
        <v>7</v>
      </c>
      <c r="AM28" s="65">
        <f>F28*AE28</f>
        <v>0</v>
      </c>
      <c r="AN28" s="65">
        <f>F28*AF28</f>
        <v>0</v>
      </c>
      <c r="AO28" s="66" t="s">
        <v>230</v>
      </c>
      <c r="AP28" s="66" t="s">
        <v>240</v>
      </c>
      <c r="AQ28" s="54" t="s">
        <v>244</v>
      </c>
      <c r="AS28" s="65">
        <f>AM28+AN28</f>
        <v>0</v>
      </c>
      <c r="AT28" s="65">
        <f>G28/(100-AU28)*100</f>
        <v>0</v>
      </c>
      <c r="AU28" s="65">
        <v>0</v>
      </c>
      <c r="AV28" s="65">
        <f>L28</f>
        <v>0.0282072</v>
      </c>
    </row>
    <row r="29" spans="3:13" ht="12.75">
      <c r="C29" s="25" t="s">
        <v>52</v>
      </c>
      <c r="D29" s="29" t="s">
        <v>129</v>
      </c>
      <c r="E29" s="34"/>
      <c r="F29" s="34"/>
      <c r="G29" s="34"/>
      <c r="H29" s="34"/>
      <c r="I29" s="34"/>
      <c r="J29" s="34"/>
      <c r="K29" s="34"/>
      <c r="L29" s="34"/>
      <c r="M29" s="34"/>
    </row>
    <row r="30" spans="1:37" ht="12.75">
      <c r="A30" s="11"/>
      <c r="B30" s="24"/>
      <c r="C30" s="24" t="s">
        <v>66</v>
      </c>
      <c r="D30" s="24" t="s">
        <v>130</v>
      </c>
      <c r="E30" s="35"/>
      <c r="F30" s="35"/>
      <c r="G30" s="35"/>
      <c r="H30" s="68">
        <f>SUM(H31:H33)</f>
        <v>0</v>
      </c>
      <c r="I30" s="68">
        <f>SUM(I31:I33)</f>
        <v>0</v>
      </c>
      <c r="J30" s="68">
        <f>H30+I30</f>
        <v>0</v>
      </c>
      <c r="K30" s="54"/>
      <c r="L30" s="68">
        <f>SUM(L31:L33)</f>
        <v>1.2041032</v>
      </c>
      <c r="M30" s="54"/>
      <c r="Y30" s="54"/>
      <c r="AI30" s="68">
        <f>SUM(Z31:Z33)</f>
        <v>0</v>
      </c>
      <c r="AJ30" s="68">
        <f>SUM(AA31:AA33)</f>
        <v>0</v>
      </c>
      <c r="AK30" s="68">
        <f>SUM(AB31:AB33)</f>
        <v>0</v>
      </c>
    </row>
    <row r="31" spans="1:48" ht="12.75">
      <c r="A31" s="10" t="s">
        <v>15</v>
      </c>
      <c r="B31" s="10"/>
      <c r="C31" s="10" t="s">
        <v>67</v>
      </c>
      <c r="D31" s="10" t="s">
        <v>131</v>
      </c>
      <c r="E31" s="10" t="s">
        <v>198</v>
      </c>
      <c r="F31" s="37">
        <v>327.12</v>
      </c>
      <c r="G31" s="37">
        <v>0</v>
      </c>
      <c r="H31" s="37">
        <f>F31*AE31</f>
        <v>0</v>
      </c>
      <c r="I31" s="37">
        <f>J31-H31</f>
        <v>0</v>
      </c>
      <c r="J31" s="37">
        <f>F31*G31</f>
        <v>0</v>
      </c>
      <c r="K31" s="37">
        <v>0.00121</v>
      </c>
      <c r="L31" s="37">
        <f>F31*K31</f>
        <v>0.3958152</v>
      </c>
      <c r="M31" s="60" t="s">
        <v>218</v>
      </c>
      <c r="P31" s="65">
        <f>IF(AG31="5",J31,0)</f>
        <v>0</v>
      </c>
      <c r="R31" s="65">
        <f>IF(AG31="1",H31,0)</f>
        <v>0</v>
      </c>
      <c r="S31" s="65">
        <f>IF(AG31="1",I31,0)</f>
        <v>0</v>
      </c>
      <c r="T31" s="65">
        <f>IF(AG31="7",H31,0)</f>
        <v>0</v>
      </c>
      <c r="U31" s="65">
        <f>IF(AG31="7",I31,0)</f>
        <v>0</v>
      </c>
      <c r="V31" s="65">
        <f>IF(AG31="2",H31,0)</f>
        <v>0</v>
      </c>
      <c r="W31" s="65">
        <f>IF(AG31="2",I31,0)</f>
        <v>0</v>
      </c>
      <c r="X31" s="65">
        <f>IF(AG31="0",J31,0)</f>
        <v>0</v>
      </c>
      <c r="Y31" s="54"/>
      <c r="Z31" s="37">
        <f>IF(AD31=0,J31,0)</f>
        <v>0</v>
      </c>
      <c r="AA31" s="37">
        <f>IF(AD31=15,J31,0)</f>
        <v>0</v>
      </c>
      <c r="AB31" s="37">
        <f>IF(AD31=21,J31,0)</f>
        <v>0</v>
      </c>
      <c r="AD31" s="65">
        <v>15</v>
      </c>
      <c r="AE31" s="65">
        <f>G31*0.392890442890443</f>
        <v>0</v>
      </c>
      <c r="AF31" s="65">
        <f>G31*(1-0.392890442890443)</f>
        <v>0</v>
      </c>
      <c r="AG31" s="60" t="s">
        <v>7</v>
      </c>
      <c r="AM31" s="65">
        <f>F31*AE31</f>
        <v>0</v>
      </c>
      <c r="AN31" s="65">
        <f>F31*AF31</f>
        <v>0</v>
      </c>
      <c r="AO31" s="66" t="s">
        <v>231</v>
      </c>
      <c r="AP31" s="66" t="s">
        <v>241</v>
      </c>
      <c r="AQ31" s="54" t="s">
        <v>244</v>
      </c>
      <c r="AS31" s="65">
        <f>AM31+AN31</f>
        <v>0</v>
      </c>
      <c r="AT31" s="65">
        <f>G31/(100-AU31)*100</f>
        <v>0</v>
      </c>
      <c r="AU31" s="65">
        <v>0</v>
      </c>
      <c r="AV31" s="65">
        <f>L31</f>
        <v>0.3958152</v>
      </c>
    </row>
    <row r="32" spans="1:48" ht="12.75">
      <c r="A32" s="10" t="s">
        <v>16</v>
      </c>
      <c r="B32" s="10"/>
      <c r="C32" s="10" t="s">
        <v>68</v>
      </c>
      <c r="D32" s="10" t="s">
        <v>132</v>
      </c>
      <c r="E32" s="10" t="s">
        <v>198</v>
      </c>
      <c r="F32" s="37">
        <v>19.9</v>
      </c>
      <c r="G32" s="37">
        <v>0</v>
      </c>
      <c r="H32" s="37">
        <f>F32*AE32</f>
        <v>0</v>
      </c>
      <c r="I32" s="37">
        <f>J32-H32</f>
        <v>0</v>
      </c>
      <c r="J32" s="37">
        <f>F32*G32</f>
        <v>0</v>
      </c>
      <c r="K32" s="37">
        <v>0.00592</v>
      </c>
      <c r="L32" s="37">
        <f>F32*K32</f>
        <v>0.117808</v>
      </c>
      <c r="M32" s="60" t="s">
        <v>218</v>
      </c>
      <c r="P32" s="65">
        <f>IF(AG32="5",J32,0)</f>
        <v>0</v>
      </c>
      <c r="R32" s="65">
        <f>IF(AG32="1",H32,0)</f>
        <v>0</v>
      </c>
      <c r="S32" s="65">
        <f>IF(AG32="1",I32,0)</f>
        <v>0</v>
      </c>
      <c r="T32" s="65">
        <f>IF(AG32="7",H32,0)</f>
        <v>0</v>
      </c>
      <c r="U32" s="65">
        <f>IF(AG32="7",I32,0)</f>
        <v>0</v>
      </c>
      <c r="V32" s="65">
        <f>IF(AG32="2",H32,0)</f>
        <v>0</v>
      </c>
      <c r="W32" s="65">
        <f>IF(AG32="2",I32,0)</f>
        <v>0</v>
      </c>
      <c r="X32" s="65">
        <f>IF(AG32="0",J32,0)</f>
        <v>0</v>
      </c>
      <c r="Y32" s="54"/>
      <c r="Z32" s="37">
        <f>IF(AD32=0,J32,0)</f>
        <v>0</v>
      </c>
      <c r="AA32" s="37">
        <f>IF(AD32=15,J32,0)</f>
        <v>0</v>
      </c>
      <c r="AB32" s="37">
        <f>IF(AD32=21,J32,0)</f>
        <v>0</v>
      </c>
      <c r="AD32" s="65">
        <v>15</v>
      </c>
      <c r="AE32" s="65">
        <f>G32*0.495907590759076</f>
        <v>0</v>
      </c>
      <c r="AF32" s="65">
        <f>G32*(1-0.495907590759076)</f>
        <v>0</v>
      </c>
      <c r="AG32" s="60" t="s">
        <v>7</v>
      </c>
      <c r="AM32" s="65">
        <f>F32*AE32</f>
        <v>0</v>
      </c>
      <c r="AN32" s="65">
        <f>F32*AF32</f>
        <v>0</v>
      </c>
      <c r="AO32" s="66" t="s">
        <v>231</v>
      </c>
      <c r="AP32" s="66" t="s">
        <v>241</v>
      </c>
      <c r="AQ32" s="54" t="s">
        <v>244</v>
      </c>
      <c r="AS32" s="65">
        <f>AM32+AN32</f>
        <v>0</v>
      </c>
      <c r="AT32" s="65">
        <f>G32/(100-AU32)*100</f>
        <v>0</v>
      </c>
      <c r="AU32" s="65">
        <v>0</v>
      </c>
      <c r="AV32" s="65">
        <f>L32</f>
        <v>0.117808</v>
      </c>
    </row>
    <row r="33" spans="1:48" ht="12.75">
      <c r="A33" s="10" t="s">
        <v>17</v>
      </c>
      <c r="B33" s="10"/>
      <c r="C33" s="10" t="s">
        <v>69</v>
      </c>
      <c r="D33" s="10" t="s">
        <v>133</v>
      </c>
      <c r="E33" s="10" t="s">
        <v>198</v>
      </c>
      <c r="F33" s="37">
        <v>36</v>
      </c>
      <c r="G33" s="37">
        <v>0</v>
      </c>
      <c r="H33" s="37">
        <f>F33*AE33</f>
        <v>0</v>
      </c>
      <c r="I33" s="37">
        <f>J33-H33</f>
        <v>0</v>
      </c>
      <c r="J33" s="37">
        <f>F33*G33</f>
        <v>0</v>
      </c>
      <c r="K33" s="37">
        <v>0.01918</v>
      </c>
      <c r="L33" s="37">
        <f>F33*K33</f>
        <v>0.69048</v>
      </c>
      <c r="M33" s="60" t="s">
        <v>218</v>
      </c>
      <c r="P33" s="65">
        <f>IF(AG33="5",J33,0)</f>
        <v>0</v>
      </c>
      <c r="R33" s="65">
        <f>IF(AG33="1",H33,0)</f>
        <v>0</v>
      </c>
      <c r="S33" s="65">
        <f>IF(AG33="1",I33,0)</f>
        <v>0</v>
      </c>
      <c r="T33" s="65">
        <f>IF(AG33="7",H33,0)</f>
        <v>0</v>
      </c>
      <c r="U33" s="65">
        <f>IF(AG33="7",I33,0)</f>
        <v>0</v>
      </c>
      <c r="V33" s="65">
        <f>IF(AG33="2",H33,0)</f>
        <v>0</v>
      </c>
      <c r="W33" s="65">
        <f>IF(AG33="2",I33,0)</f>
        <v>0</v>
      </c>
      <c r="X33" s="65">
        <f>IF(AG33="0",J33,0)</f>
        <v>0</v>
      </c>
      <c r="Y33" s="54"/>
      <c r="Z33" s="37">
        <f>IF(AD33=0,J33,0)</f>
        <v>0</v>
      </c>
      <c r="AA33" s="37">
        <f>IF(AD33=15,J33,0)</f>
        <v>0</v>
      </c>
      <c r="AB33" s="37">
        <f>IF(AD33=21,J33,0)</f>
        <v>0</v>
      </c>
      <c r="AD33" s="65">
        <v>15</v>
      </c>
      <c r="AE33" s="65">
        <f>G33*0.199453125</f>
        <v>0</v>
      </c>
      <c r="AF33" s="65">
        <f>G33*(1-0.199453125)</f>
        <v>0</v>
      </c>
      <c r="AG33" s="60" t="s">
        <v>7</v>
      </c>
      <c r="AM33" s="65">
        <f>F33*AE33</f>
        <v>0</v>
      </c>
      <c r="AN33" s="65">
        <f>F33*AF33</f>
        <v>0</v>
      </c>
      <c r="AO33" s="66" t="s">
        <v>231</v>
      </c>
      <c r="AP33" s="66" t="s">
        <v>241</v>
      </c>
      <c r="AQ33" s="54" t="s">
        <v>244</v>
      </c>
      <c r="AS33" s="65">
        <f>AM33+AN33</f>
        <v>0</v>
      </c>
      <c r="AT33" s="65">
        <f>G33/(100-AU33)*100</f>
        <v>0</v>
      </c>
      <c r="AU33" s="65">
        <v>0</v>
      </c>
      <c r="AV33" s="65">
        <f>L33</f>
        <v>0.69048</v>
      </c>
    </row>
    <row r="34" spans="3:13" ht="12.75">
      <c r="C34" s="25" t="s">
        <v>52</v>
      </c>
      <c r="D34" s="29" t="s">
        <v>134</v>
      </c>
      <c r="E34" s="34"/>
      <c r="F34" s="34"/>
      <c r="G34" s="34"/>
      <c r="H34" s="34"/>
      <c r="I34" s="34"/>
      <c r="J34" s="34"/>
      <c r="K34" s="34"/>
      <c r="L34" s="34"/>
      <c r="M34" s="34"/>
    </row>
    <row r="35" spans="1:37" ht="12.75">
      <c r="A35" s="11"/>
      <c r="B35" s="24"/>
      <c r="C35" s="24" t="s">
        <v>70</v>
      </c>
      <c r="D35" s="24" t="s">
        <v>135</v>
      </c>
      <c r="E35" s="35"/>
      <c r="F35" s="35"/>
      <c r="G35" s="35"/>
      <c r="H35" s="68">
        <f>SUM(H36:H38)</f>
        <v>0</v>
      </c>
      <c r="I35" s="68">
        <f>SUM(I36:I38)</f>
        <v>0</v>
      </c>
      <c r="J35" s="68">
        <f>H35+I35</f>
        <v>0</v>
      </c>
      <c r="K35" s="54"/>
      <c r="L35" s="68">
        <f>SUM(L36:L38)</f>
        <v>0.0718816</v>
      </c>
      <c r="M35" s="54"/>
      <c r="Y35" s="54"/>
      <c r="AI35" s="68">
        <f>SUM(Z36:Z38)</f>
        <v>0</v>
      </c>
      <c r="AJ35" s="68">
        <f>SUM(AA36:AA38)</f>
        <v>0</v>
      </c>
      <c r="AK35" s="68">
        <f>SUM(AB36:AB38)</f>
        <v>0</v>
      </c>
    </row>
    <row r="36" spans="1:48" ht="12.75">
      <c r="A36" s="10" t="s">
        <v>18</v>
      </c>
      <c r="B36" s="10"/>
      <c r="C36" s="10" t="s">
        <v>71</v>
      </c>
      <c r="D36" s="10" t="s">
        <v>136</v>
      </c>
      <c r="E36" s="10" t="s">
        <v>198</v>
      </c>
      <c r="F36" s="37">
        <v>1797.04</v>
      </c>
      <c r="G36" s="37">
        <v>0</v>
      </c>
      <c r="H36" s="37">
        <f>F36*AE36</f>
        <v>0</v>
      </c>
      <c r="I36" s="37">
        <f>J36-H36</f>
        <v>0</v>
      </c>
      <c r="J36" s="37">
        <f>F36*G36</f>
        <v>0</v>
      </c>
      <c r="K36" s="37">
        <v>4E-05</v>
      </c>
      <c r="L36" s="37">
        <f>F36*K36</f>
        <v>0.0718816</v>
      </c>
      <c r="M36" s="60" t="s">
        <v>218</v>
      </c>
      <c r="P36" s="65">
        <f>IF(AG36="5",J36,0)</f>
        <v>0</v>
      </c>
      <c r="R36" s="65">
        <f>IF(AG36="1",H36,0)</f>
        <v>0</v>
      </c>
      <c r="S36" s="65">
        <f>IF(AG36="1",I36,0)</f>
        <v>0</v>
      </c>
      <c r="T36" s="65">
        <f>IF(AG36="7",H36,0)</f>
        <v>0</v>
      </c>
      <c r="U36" s="65">
        <f>IF(AG36="7",I36,0)</f>
        <v>0</v>
      </c>
      <c r="V36" s="65">
        <f>IF(AG36="2",H36,0)</f>
        <v>0</v>
      </c>
      <c r="W36" s="65">
        <f>IF(AG36="2",I36,0)</f>
        <v>0</v>
      </c>
      <c r="X36" s="65">
        <f>IF(AG36="0",J36,0)</f>
        <v>0</v>
      </c>
      <c r="Y36" s="54"/>
      <c r="Z36" s="37">
        <f>IF(AD36=0,J36,0)</f>
        <v>0</v>
      </c>
      <c r="AA36" s="37">
        <f>IF(AD36=15,J36,0)</f>
        <v>0</v>
      </c>
      <c r="AB36" s="37">
        <f>IF(AD36=21,J36,0)</f>
        <v>0</v>
      </c>
      <c r="AD36" s="65">
        <v>15</v>
      </c>
      <c r="AE36" s="65">
        <f>G36*0.0144153225806452</f>
        <v>0</v>
      </c>
      <c r="AF36" s="65">
        <f>G36*(1-0.0144153225806452)</f>
        <v>0</v>
      </c>
      <c r="AG36" s="60" t="s">
        <v>7</v>
      </c>
      <c r="AM36" s="65">
        <f>F36*AE36</f>
        <v>0</v>
      </c>
      <c r="AN36" s="65">
        <f>F36*AF36</f>
        <v>0</v>
      </c>
      <c r="AO36" s="66" t="s">
        <v>232</v>
      </c>
      <c r="AP36" s="66" t="s">
        <v>241</v>
      </c>
      <c r="AQ36" s="54" t="s">
        <v>244</v>
      </c>
      <c r="AS36" s="65">
        <f>AM36+AN36</f>
        <v>0</v>
      </c>
      <c r="AT36" s="65">
        <f>G36/(100-AU36)*100</f>
        <v>0</v>
      </c>
      <c r="AU36" s="65">
        <v>0</v>
      </c>
      <c r="AV36" s="65">
        <f>L36</f>
        <v>0.0718816</v>
      </c>
    </row>
    <row r="37" spans="4:6" ht="12.75">
      <c r="D37" s="30" t="s">
        <v>137</v>
      </c>
      <c r="F37" s="38">
        <v>1797.04</v>
      </c>
    </row>
    <row r="38" spans="1:48" ht="12.75">
      <c r="A38" s="10" t="s">
        <v>19</v>
      </c>
      <c r="B38" s="10"/>
      <c r="C38" s="10" t="s">
        <v>72</v>
      </c>
      <c r="D38" s="10" t="s">
        <v>138</v>
      </c>
      <c r="E38" s="10" t="s">
        <v>199</v>
      </c>
      <c r="F38" s="37">
        <v>9.09903</v>
      </c>
      <c r="G38" s="37">
        <v>0</v>
      </c>
      <c r="H38" s="37">
        <f>F38*AE38</f>
        <v>0</v>
      </c>
      <c r="I38" s="37">
        <f>J38-H38</f>
        <v>0</v>
      </c>
      <c r="J38" s="37">
        <f>F38*G38</f>
        <v>0</v>
      </c>
      <c r="K38" s="37">
        <v>0</v>
      </c>
      <c r="L38" s="37">
        <f>F38*K38</f>
        <v>0</v>
      </c>
      <c r="M38" s="60" t="s">
        <v>218</v>
      </c>
      <c r="P38" s="65">
        <f>IF(AG38="5",J38,0)</f>
        <v>0</v>
      </c>
      <c r="R38" s="65">
        <f>IF(AG38="1",H38,0)</f>
        <v>0</v>
      </c>
      <c r="S38" s="65">
        <f>IF(AG38="1",I38,0)</f>
        <v>0</v>
      </c>
      <c r="T38" s="65">
        <f>IF(AG38="7",H38,0)</f>
        <v>0</v>
      </c>
      <c r="U38" s="65">
        <f>IF(AG38="7",I38,0)</f>
        <v>0</v>
      </c>
      <c r="V38" s="65">
        <f>IF(AG38="2",H38,0)</f>
        <v>0</v>
      </c>
      <c r="W38" s="65">
        <f>IF(AG38="2",I38,0)</f>
        <v>0</v>
      </c>
      <c r="X38" s="65">
        <f>IF(AG38="0",J38,0)</f>
        <v>0</v>
      </c>
      <c r="Y38" s="54"/>
      <c r="Z38" s="37">
        <f>IF(AD38=0,J38,0)</f>
        <v>0</v>
      </c>
      <c r="AA38" s="37">
        <f>IF(AD38=15,J38,0)</f>
        <v>0</v>
      </c>
      <c r="AB38" s="37">
        <f>IF(AD38=21,J38,0)</f>
        <v>0</v>
      </c>
      <c r="AD38" s="65">
        <v>15</v>
      </c>
      <c r="AE38" s="65">
        <f>G38*0</f>
        <v>0</v>
      </c>
      <c r="AF38" s="65">
        <f>G38*(1-0)</f>
        <v>0</v>
      </c>
      <c r="AG38" s="60" t="s">
        <v>11</v>
      </c>
      <c r="AM38" s="65">
        <f>F38*AE38</f>
        <v>0</v>
      </c>
      <c r="AN38" s="65">
        <f>F38*AF38</f>
        <v>0</v>
      </c>
      <c r="AO38" s="66" t="s">
        <v>232</v>
      </c>
      <c r="AP38" s="66" t="s">
        <v>241</v>
      </c>
      <c r="AQ38" s="54" t="s">
        <v>244</v>
      </c>
      <c r="AS38" s="65">
        <f>AM38+AN38</f>
        <v>0</v>
      </c>
      <c r="AT38" s="65">
        <f>G38/(100-AU38)*100</f>
        <v>0</v>
      </c>
      <c r="AU38" s="65">
        <v>0</v>
      </c>
      <c r="AV38" s="65">
        <f>L38</f>
        <v>0</v>
      </c>
    </row>
    <row r="39" spans="1:37" ht="12.75">
      <c r="A39" s="11"/>
      <c r="B39" s="24"/>
      <c r="C39" s="24" t="s">
        <v>73</v>
      </c>
      <c r="D39" s="24" t="s">
        <v>139</v>
      </c>
      <c r="E39" s="35"/>
      <c r="F39" s="35"/>
      <c r="G39" s="35"/>
      <c r="H39" s="68">
        <f>SUM(H40:H44)</f>
        <v>0</v>
      </c>
      <c r="I39" s="68">
        <f>SUM(I40:I44)</f>
        <v>0</v>
      </c>
      <c r="J39" s="68">
        <f>H39+I39</f>
        <v>0</v>
      </c>
      <c r="K39" s="54"/>
      <c r="L39" s="68">
        <f>SUM(L40:L44)</f>
        <v>22.8886799</v>
      </c>
      <c r="M39" s="54"/>
      <c r="Y39" s="54"/>
      <c r="AI39" s="68">
        <f>SUM(Z40:Z44)</f>
        <v>0</v>
      </c>
      <c r="AJ39" s="68">
        <f>SUM(AA40:AA44)</f>
        <v>0</v>
      </c>
      <c r="AK39" s="68">
        <f>SUM(AB40:AB44)</f>
        <v>0</v>
      </c>
    </row>
    <row r="40" spans="1:48" ht="12.75">
      <c r="A40" s="10" t="s">
        <v>20</v>
      </c>
      <c r="B40" s="10"/>
      <c r="C40" s="10" t="s">
        <v>74</v>
      </c>
      <c r="D40" s="10" t="s">
        <v>140</v>
      </c>
      <c r="E40" s="10" t="s">
        <v>200</v>
      </c>
      <c r="F40" s="37">
        <v>369</v>
      </c>
      <c r="G40" s="37">
        <v>0</v>
      </c>
      <c r="H40" s="37">
        <f>F40*AE40</f>
        <v>0</v>
      </c>
      <c r="I40" s="37">
        <f>J40-H40</f>
        <v>0</v>
      </c>
      <c r="J40" s="37">
        <f>F40*G40</f>
        <v>0</v>
      </c>
      <c r="K40" s="37">
        <v>0</v>
      </c>
      <c r="L40" s="37">
        <f>F40*K40</f>
        <v>0</v>
      </c>
      <c r="M40" s="60" t="s">
        <v>218</v>
      </c>
      <c r="P40" s="65">
        <f>IF(AG40="5",J40,0)</f>
        <v>0</v>
      </c>
      <c r="R40" s="65">
        <f>IF(AG40="1",H40,0)</f>
        <v>0</v>
      </c>
      <c r="S40" s="65">
        <f>IF(AG40="1",I40,0)</f>
        <v>0</v>
      </c>
      <c r="T40" s="65">
        <f>IF(AG40="7",H40,0)</f>
        <v>0</v>
      </c>
      <c r="U40" s="65">
        <f>IF(AG40="7",I40,0)</f>
        <v>0</v>
      </c>
      <c r="V40" s="65">
        <f>IF(AG40="2",H40,0)</f>
        <v>0</v>
      </c>
      <c r="W40" s="65">
        <f>IF(AG40="2",I40,0)</f>
        <v>0</v>
      </c>
      <c r="X40" s="65">
        <f>IF(AG40="0",J40,0)</f>
        <v>0</v>
      </c>
      <c r="Y40" s="54"/>
      <c r="Z40" s="37">
        <f>IF(AD40=0,J40,0)</f>
        <v>0</v>
      </c>
      <c r="AA40" s="37">
        <f>IF(AD40=15,J40,0)</f>
        <v>0</v>
      </c>
      <c r="AB40" s="37">
        <f>IF(AD40=21,J40,0)</f>
        <v>0</v>
      </c>
      <c r="AD40" s="65">
        <v>15</v>
      </c>
      <c r="AE40" s="65">
        <f>G40*0</f>
        <v>0</v>
      </c>
      <c r="AF40" s="65">
        <f>G40*(1-0)</f>
        <v>0</v>
      </c>
      <c r="AG40" s="60" t="s">
        <v>7</v>
      </c>
      <c r="AM40" s="65">
        <f>F40*AE40</f>
        <v>0</v>
      </c>
      <c r="AN40" s="65">
        <f>F40*AF40</f>
        <v>0</v>
      </c>
      <c r="AO40" s="66" t="s">
        <v>233</v>
      </c>
      <c r="AP40" s="66" t="s">
        <v>241</v>
      </c>
      <c r="AQ40" s="54" t="s">
        <v>244</v>
      </c>
      <c r="AS40" s="65">
        <f>AM40+AN40</f>
        <v>0</v>
      </c>
      <c r="AT40" s="65">
        <f>G40/(100-AU40)*100</f>
        <v>0</v>
      </c>
      <c r="AU40" s="65">
        <v>0</v>
      </c>
      <c r="AV40" s="65">
        <f>L40</f>
        <v>0</v>
      </c>
    </row>
    <row r="41" spans="1:48" ht="12.75">
      <c r="A41" s="10" t="s">
        <v>21</v>
      </c>
      <c r="B41" s="10"/>
      <c r="C41" s="10" t="s">
        <v>75</v>
      </c>
      <c r="D41" s="10" t="s">
        <v>141</v>
      </c>
      <c r="E41" s="10" t="s">
        <v>198</v>
      </c>
      <c r="F41" s="37">
        <v>32.39</v>
      </c>
      <c r="G41" s="37">
        <v>0</v>
      </c>
      <c r="H41" s="37">
        <f>F41*AE41</f>
        <v>0</v>
      </c>
      <c r="I41" s="37">
        <f>J41-H41</f>
        <v>0</v>
      </c>
      <c r="J41" s="37">
        <f>F41*G41</f>
        <v>0</v>
      </c>
      <c r="K41" s="37">
        <v>0.063</v>
      </c>
      <c r="L41" s="37">
        <f>F41*K41</f>
        <v>2.04057</v>
      </c>
      <c r="M41" s="60" t="s">
        <v>218</v>
      </c>
      <c r="P41" s="65">
        <f>IF(AG41="5",J41,0)</f>
        <v>0</v>
      </c>
      <c r="R41" s="65">
        <f>IF(AG41="1",H41,0)</f>
        <v>0</v>
      </c>
      <c r="S41" s="65">
        <f>IF(AG41="1",I41,0)</f>
        <v>0</v>
      </c>
      <c r="T41" s="65">
        <f>IF(AG41="7",H41,0)</f>
        <v>0</v>
      </c>
      <c r="U41" s="65">
        <f>IF(AG41="7",I41,0)</f>
        <v>0</v>
      </c>
      <c r="V41" s="65">
        <f>IF(AG41="2",H41,0)</f>
        <v>0</v>
      </c>
      <c r="W41" s="65">
        <f>IF(AG41="2",I41,0)</f>
        <v>0</v>
      </c>
      <c r="X41" s="65">
        <f>IF(AG41="0",J41,0)</f>
        <v>0</v>
      </c>
      <c r="Y41" s="54"/>
      <c r="Z41" s="37">
        <f>IF(AD41=0,J41,0)</f>
        <v>0</v>
      </c>
      <c r="AA41" s="37">
        <f>IF(AD41=15,J41,0)</f>
        <v>0</v>
      </c>
      <c r="AB41" s="37">
        <f>IF(AD41=21,J41,0)</f>
        <v>0</v>
      </c>
      <c r="AD41" s="65">
        <v>15</v>
      </c>
      <c r="AE41" s="65">
        <f>G41*0.12766071524315</f>
        <v>0</v>
      </c>
      <c r="AF41" s="65">
        <f>G41*(1-0.12766071524315)</f>
        <v>0</v>
      </c>
      <c r="AG41" s="60" t="s">
        <v>7</v>
      </c>
      <c r="AM41" s="65">
        <f>F41*AE41</f>
        <v>0</v>
      </c>
      <c r="AN41" s="65">
        <f>F41*AF41</f>
        <v>0</v>
      </c>
      <c r="AO41" s="66" t="s">
        <v>233</v>
      </c>
      <c r="AP41" s="66" t="s">
        <v>241</v>
      </c>
      <c r="AQ41" s="54" t="s">
        <v>244</v>
      </c>
      <c r="AS41" s="65">
        <f>AM41+AN41</f>
        <v>0</v>
      </c>
      <c r="AT41" s="65">
        <f>G41/(100-AU41)*100</f>
        <v>0</v>
      </c>
      <c r="AU41" s="65">
        <v>0</v>
      </c>
      <c r="AV41" s="65">
        <f>L41</f>
        <v>2.04057</v>
      </c>
    </row>
    <row r="42" spans="1:48" ht="12.75">
      <c r="A42" s="10" t="s">
        <v>22</v>
      </c>
      <c r="B42" s="10"/>
      <c r="C42" s="10" t="s">
        <v>76</v>
      </c>
      <c r="D42" s="10" t="s">
        <v>142</v>
      </c>
      <c r="E42" s="10" t="s">
        <v>198</v>
      </c>
      <c r="F42" s="37">
        <v>339.7</v>
      </c>
      <c r="G42" s="37">
        <v>0</v>
      </c>
      <c r="H42" s="37">
        <f>F42*AE42</f>
        <v>0</v>
      </c>
      <c r="I42" s="37">
        <f>J42-H42</f>
        <v>0</v>
      </c>
      <c r="J42" s="37">
        <f>F42*G42</f>
        <v>0</v>
      </c>
      <c r="K42" s="37">
        <v>0.05492</v>
      </c>
      <c r="L42" s="37">
        <f>F42*K42</f>
        <v>18.656323999999998</v>
      </c>
      <c r="M42" s="60" t="s">
        <v>218</v>
      </c>
      <c r="P42" s="65">
        <f>IF(AG42="5",J42,0)</f>
        <v>0</v>
      </c>
      <c r="R42" s="65">
        <f>IF(AG42="1",H42,0)</f>
        <v>0</v>
      </c>
      <c r="S42" s="65">
        <f>IF(AG42="1",I42,0)</f>
        <v>0</v>
      </c>
      <c r="T42" s="65">
        <f>IF(AG42="7",H42,0)</f>
        <v>0</v>
      </c>
      <c r="U42" s="65">
        <f>IF(AG42="7",I42,0)</f>
        <v>0</v>
      </c>
      <c r="V42" s="65">
        <f>IF(AG42="2",H42,0)</f>
        <v>0</v>
      </c>
      <c r="W42" s="65">
        <f>IF(AG42="2",I42,0)</f>
        <v>0</v>
      </c>
      <c r="X42" s="65">
        <f>IF(AG42="0",J42,0)</f>
        <v>0</v>
      </c>
      <c r="Y42" s="54"/>
      <c r="Z42" s="37">
        <f>IF(AD42=0,J42,0)</f>
        <v>0</v>
      </c>
      <c r="AA42" s="37">
        <f>IF(AD42=15,J42,0)</f>
        <v>0</v>
      </c>
      <c r="AB42" s="37">
        <f>IF(AD42=21,J42,0)</f>
        <v>0</v>
      </c>
      <c r="AD42" s="65">
        <v>15</v>
      </c>
      <c r="AE42" s="65">
        <f>G42*0.15</f>
        <v>0</v>
      </c>
      <c r="AF42" s="65">
        <f>G42*(1-0.15)</f>
        <v>0</v>
      </c>
      <c r="AG42" s="60" t="s">
        <v>7</v>
      </c>
      <c r="AM42" s="65">
        <f>F42*AE42</f>
        <v>0</v>
      </c>
      <c r="AN42" s="65">
        <f>F42*AF42</f>
        <v>0</v>
      </c>
      <c r="AO42" s="66" t="s">
        <v>233</v>
      </c>
      <c r="AP42" s="66" t="s">
        <v>241</v>
      </c>
      <c r="AQ42" s="54" t="s">
        <v>244</v>
      </c>
      <c r="AS42" s="65">
        <f>AM42+AN42</f>
        <v>0</v>
      </c>
      <c r="AT42" s="65">
        <f>G42/(100-AU42)*100</f>
        <v>0</v>
      </c>
      <c r="AU42" s="65">
        <v>0</v>
      </c>
      <c r="AV42" s="65">
        <f>L42</f>
        <v>18.656323999999998</v>
      </c>
    </row>
    <row r="43" spans="1:48" ht="12.75">
      <c r="A43" s="10" t="s">
        <v>23</v>
      </c>
      <c r="B43" s="10"/>
      <c r="C43" s="10" t="s">
        <v>77</v>
      </c>
      <c r="D43" s="10" t="s">
        <v>143</v>
      </c>
      <c r="E43" s="10" t="s">
        <v>197</v>
      </c>
      <c r="F43" s="37">
        <v>28.8</v>
      </c>
      <c r="G43" s="37">
        <v>0</v>
      </c>
      <c r="H43" s="37">
        <f>F43*AE43</f>
        <v>0</v>
      </c>
      <c r="I43" s="37">
        <f>J43-H43</f>
        <v>0</v>
      </c>
      <c r="J43" s="37">
        <f>F43*G43</f>
        <v>0</v>
      </c>
      <c r="K43" s="37">
        <v>0.01113</v>
      </c>
      <c r="L43" s="37">
        <f>F43*K43</f>
        <v>0.320544</v>
      </c>
      <c r="M43" s="60" t="s">
        <v>218</v>
      </c>
      <c r="P43" s="65">
        <f>IF(AG43="5",J43,0)</f>
        <v>0</v>
      </c>
      <c r="R43" s="65">
        <f>IF(AG43="1",H43,0)</f>
        <v>0</v>
      </c>
      <c r="S43" s="65">
        <f>IF(AG43="1",I43,0)</f>
        <v>0</v>
      </c>
      <c r="T43" s="65">
        <f>IF(AG43="7",H43,0)</f>
        <v>0</v>
      </c>
      <c r="U43" s="65">
        <f>IF(AG43="7",I43,0)</f>
        <v>0</v>
      </c>
      <c r="V43" s="65">
        <f>IF(AG43="2",H43,0)</f>
        <v>0</v>
      </c>
      <c r="W43" s="65">
        <f>IF(AG43="2",I43,0)</f>
        <v>0</v>
      </c>
      <c r="X43" s="65">
        <f>IF(AG43="0",J43,0)</f>
        <v>0</v>
      </c>
      <c r="Y43" s="54"/>
      <c r="Z43" s="37">
        <f>IF(AD43=0,J43,0)</f>
        <v>0</v>
      </c>
      <c r="AA43" s="37">
        <f>IF(AD43=15,J43,0)</f>
        <v>0</v>
      </c>
      <c r="AB43" s="37">
        <f>IF(AD43=21,J43,0)</f>
        <v>0</v>
      </c>
      <c r="AD43" s="65">
        <v>15</v>
      </c>
      <c r="AE43" s="65">
        <f>G43*0</f>
        <v>0</v>
      </c>
      <c r="AF43" s="65">
        <f>G43*(1-0)</f>
        <v>0</v>
      </c>
      <c r="AG43" s="60" t="s">
        <v>7</v>
      </c>
      <c r="AM43" s="65">
        <f>F43*AE43</f>
        <v>0</v>
      </c>
      <c r="AN43" s="65">
        <f>F43*AF43</f>
        <v>0</v>
      </c>
      <c r="AO43" s="66" t="s">
        <v>233</v>
      </c>
      <c r="AP43" s="66" t="s">
        <v>241</v>
      </c>
      <c r="AQ43" s="54" t="s">
        <v>244</v>
      </c>
      <c r="AS43" s="65">
        <f>AM43+AN43</f>
        <v>0</v>
      </c>
      <c r="AT43" s="65">
        <f>G43/(100-AU43)*100</f>
        <v>0</v>
      </c>
      <c r="AU43" s="65">
        <v>0</v>
      </c>
      <c r="AV43" s="65">
        <f>L43</f>
        <v>0.320544</v>
      </c>
    </row>
    <row r="44" spans="1:48" ht="12.75">
      <c r="A44" s="10" t="s">
        <v>24</v>
      </c>
      <c r="B44" s="10"/>
      <c r="C44" s="10" t="s">
        <v>78</v>
      </c>
      <c r="D44" s="10" t="s">
        <v>144</v>
      </c>
      <c r="E44" s="10" t="s">
        <v>197</v>
      </c>
      <c r="F44" s="37">
        <v>124.17</v>
      </c>
      <c r="G44" s="37">
        <v>0</v>
      </c>
      <c r="H44" s="37">
        <f>F44*AE44</f>
        <v>0</v>
      </c>
      <c r="I44" s="37">
        <f>J44-H44</f>
        <v>0</v>
      </c>
      <c r="J44" s="37">
        <f>F44*G44</f>
        <v>0</v>
      </c>
      <c r="K44" s="37">
        <v>0.01507</v>
      </c>
      <c r="L44" s="37">
        <f>F44*K44</f>
        <v>1.8712419</v>
      </c>
      <c r="M44" s="60" t="s">
        <v>218</v>
      </c>
      <c r="P44" s="65">
        <f>IF(AG44="5",J44,0)</f>
        <v>0</v>
      </c>
      <c r="R44" s="65">
        <f>IF(AG44="1",H44,0)</f>
        <v>0</v>
      </c>
      <c r="S44" s="65">
        <f>IF(AG44="1",I44,0)</f>
        <v>0</v>
      </c>
      <c r="T44" s="65">
        <f>IF(AG44="7",H44,0)</f>
        <v>0</v>
      </c>
      <c r="U44" s="65">
        <f>IF(AG44="7",I44,0)</f>
        <v>0</v>
      </c>
      <c r="V44" s="65">
        <f>IF(AG44="2",H44,0)</f>
        <v>0</v>
      </c>
      <c r="W44" s="65">
        <f>IF(AG44="2",I44,0)</f>
        <v>0</v>
      </c>
      <c r="X44" s="65">
        <f>IF(AG44="0",J44,0)</f>
        <v>0</v>
      </c>
      <c r="Y44" s="54"/>
      <c r="Z44" s="37">
        <f>IF(AD44=0,J44,0)</f>
        <v>0</v>
      </c>
      <c r="AA44" s="37">
        <f>IF(AD44=15,J44,0)</f>
        <v>0</v>
      </c>
      <c r="AB44" s="37">
        <f>IF(AD44=21,J44,0)</f>
        <v>0</v>
      </c>
      <c r="AD44" s="65">
        <v>15</v>
      </c>
      <c r="AE44" s="65">
        <f>G44*0</f>
        <v>0</v>
      </c>
      <c r="AF44" s="65">
        <f>G44*(1-0)</f>
        <v>0</v>
      </c>
      <c r="AG44" s="60" t="s">
        <v>7</v>
      </c>
      <c r="AM44" s="65">
        <f>F44*AE44</f>
        <v>0</v>
      </c>
      <c r="AN44" s="65">
        <f>F44*AF44</f>
        <v>0</v>
      </c>
      <c r="AO44" s="66" t="s">
        <v>233</v>
      </c>
      <c r="AP44" s="66" t="s">
        <v>241</v>
      </c>
      <c r="AQ44" s="54" t="s">
        <v>244</v>
      </c>
      <c r="AS44" s="65">
        <f>AM44+AN44</f>
        <v>0</v>
      </c>
      <c r="AT44" s="65">
        <f>G44/(100-AU44)*100</f>
        <v>0</v>
      </c>
      <c r="AU44" s="65">
        <v>0</v>
      </c>
      <c r="AV44" s="65">
        <f>L44</f>
        <v>1.8712419</v>
      </c>
    </row>
    <row r="45" spans="4:6" ht="12.75">
      <c r="D45" s="30" t="s">
        <v>145</v>
      </c>
      <c r="F45" s="38">
        <v>124.17</v>
      </c>
    </row>
    <row r="46" spans="1:37" ht="12.75">
      <c r="A46" s="11"/>
      <c r="B46" s="24"/>
      <c r="C46" s="24" t="s">
        <v>79</v>
      </c>
      <c r="D46" s="24" t="s">
        <v>146</v>
      </c>
      <c r="E46" s="35"/>
      <c r="F46" s="35"/>
      <c r="G46" s="35"/>
      <c r="H46" s="68">
        <f>SUM(H47:H48)</f>
        <v>0</v>
      </c>
      <c r="I46" s="68">
        <f>SUM(I47:I48)</f>
        <v>0</v>
      </c>
      <c r="J46" s="68">
        <f>H46+I46</f>
        <v>0</v>
      </c>
      <c r="K46" s="54"/>
      <c r="L46" s="68">
        <f>SUM(L47:L48)</f>
        <v>3.4911757999999997</v>
      </c>
      <c r="M46" s="54"/>
      <c r="Y46" s="54"/>
      <c r="AI46" s="68">
        <f>SUM(Z47:Z48)</f>
        <v>0</v>
      </c>
      <c r="AJ46" s="68">
        <f>SUM(AA47:AA48)</f>
        <v>0</v>
      </c>
      <c r="AK46" s="68">
        <f>SUM(AB47:AB48)</f>
        <v>0</v>
      </c>
    </row>
    <row r="47" spans="1:48" ht="12.75">
      <c r="A47" s="10" t="s">
        <v>25</v>
      </c>
      <c r="B47" s="10"/>
      <c r="C47" s="10" t="s">
        <v>80</v>
      </c>
      <c r="D47" s="10" t="s">
        <v>147</v>
      </c>
      <c r="E47" s="10" t="s">
        <v>198</v>
      </c>
      <c r="F47" s="37">
        <v>74.72</v>
      </c>
      <c r="G47" s="37">
        <v>0</v>
      </c>
      <c r="H47" s="37">
        <f>F47*AE47</f>
        <v>0</v>
      </c>
      <c r="I47" s="37">
        <f>J47-H47</f>
        <v>0</v>
      </c>
      <c r="J47" s="37">
        <f>F47*G47</f>
        <v>0</v>
      </c>
      <c r="K47" s="37">
        <v>0.046</v>
      </c>
      <c r="L47" s="37">
        <f>F47*K47</f>
        <v>3.4371199999999997</v>
      </c>
      <c r="M47" s="60" t="s">
        <v>218</v>
      </c>
      <c r="P47" s="65">
        <f>IF(AG47="5",J47,0)</f>
        <v>0</v>
      </c>
      <c r="R47" s="65">
        <f>IF(AG47="1",H47,0)</f>
        <v>0</v>
      </c>
      <c r="S47" s="65">
        <f>IF(AG47="1",I47,0)</f>
        <v>0</v>
      </c>
      <c r="T47" s="65">
        <f>IF(AG47="7",H47,0)</f>
        <v>0</v>
      </c>
      <c r="U47" s="65">
        <f>IF(AG47="7",I47,0)</f>
        <v>0</v>
      </c>
      <c r="V47" s="65">
        <f>IF(AG47="2",H47,0)</f>
        <v>0</v>
      </c>
      <c r="W47" s="65">
        <f>IF(AG47="2",I47,0)</f>
        <v>0</v>
      </c>
      <c r="X47" s="65">
        <f>IF(AG47="0",J47,0)</f>
        <v>0</v>
      </c>
      <c r="Y47" s="54"/>
      <c r="Z47" s="37">
        <f>IF(AD47=0,J47,0)</f>
        <v>0</v>
      </c>
      <c r="AA47" s="37">
        <f>IF(AD47=15,J47,0)</f>
        <v>0</v>
      </c>
      <c r="AB47" s="37">
        <f>IF(AD47=21,J47,0)</f>
        <v>0</v>
      </c>
      <c r="AD47" s="65">
        <v>15</v>
      </c>
      <c r="AE47" s="65">
        <f>G47*0</f>
        <v>0</v>
      </c>
      <c r="AF47" s="65">
        <f>G47*(1-0)</f>
        <v>0</v>
      </c>
      <c r="AG47" s="60" t="s">
        <v>7</v>
      </c>
      <c r="AM47" s="65">
        <f>F47*AE47</f>
        <v>0</v>
      </c>
      <c r="AN47" s="65">
        <f>F47*AF47</f>
        <v>0</v>
      </c>
      <c r="AO47" s="66" t="s">
        <v>234</v>
      </c>
      <c r="AP47" s="66" t="s">
        <v>241</v>
      </c>
      <c r="AQ47" s="54" t="s">
        <v>244</v>
      </c>
      <c r="AS47" s="65">
        <f>AM47+AN47</f>
        <v>0</v>
      </c>
      <c r="AT47" s="65">
        <f>G47/(100-AU47)*100</f>
        <v>0</v>
      </c>
      <c r="AU47" s="65">
        <v>0</v>
      </c>
      <c r="AV47" s="65">
        <f>L47</f>
        <v>3.4371199999999997</v>
      </c>
    </row>
    <row r="48" spans="1:48" ht="12.75">
      <c r="A48" s="10" t="s">
        <v>26</v>
      </c>
      <c r="B48" s="10"/>
      <c r="C48" s="10" t="s">
        <v>81</v>
      </c>
      <c r="D48" s="10" t="s">
        <v>148</v>
      </c>
      <c r="E48" s="10" t="s">
        <v>198</v>
      </c>
      <c r="F48" s="37">
        <v>0.9162</v>
      </c>
      <c r="G48" s="37">
        <v>0</v>
      </c>
      <c r="H48" s="37">
        <f>F48*AE48</f>
        <v>0</v>
      </c>
      <c r="I48" s="37">
        <f>J48-H48</f>
        <v>0</v>
      </c>
      <c r="J48" s="37">
        <f>F48*G48</f>
        <v>0</v>
      </c>
      <c r="K48" s="37">
        <v>0.059</v>
      </c>
      <c r="L48" s="37">
        <f>F48*K48</f>
        <v>0.0540558</v>
      </c>
      <c r="M48" s="60" t="s">
        <v>218</v>
      </c>
      <c r="P48" s="65">
        <f>IF(AG48="5",J48,0)</f>
        <v>0</v>
      </c>
      <c r="R48" s="65">
        <f>IF(AG48="1",H48,0)</f>
        <v>0</v>
      </c>
      <c r="S48" s="65">
        <f>IF(AG48="1",I48,0)</f>
        <v>0</v>
      </c>
      <c r="T48" s="65">
        <f>IF(AG48="7",H48,0)</f>
        <v>0</v>
      </c>
      <c r="U48" s="65">
        <f>IF(AG48="7",I48,0)</f>
        <v>0</v>
      </c>
      <c r="V48" s="65">
        <f>IF(AG48="2",H48,0)</f>
        <v>0</v>
      </c>
      <c r="W48" s="65">
        <f>IF(AG48="2",I48,0)</f>
        <v>0</v>
      </c>
      <c r="X48" s="65">
        <f>IF(AG48="0",J48,0)</f>
        <v>0</v>
      </c>
      <c r="Y48" s="54"/>
      <c r="Z48" s="37">
        <f>IF(AD48=0,J48,0)</f>
        <v>0</v>
      </c>
      <c r="AA48" s="37">
        <f>IF(AD48=15,J48,0)</f>
        <v>0</v>
      </c>
      <c r="AB48" s="37">
        <f>IF(AD48=21,J48,0)</f>
        <v>0</v>
      </c>
      <c r="AD48" s="65">
        <v>15</v>
      </c>
      <c r="AE48" s="65">
        <f>G48*0</f>
        <v>0</v>
      </c>
      <c r="AF48" s="65">
        <f>G48*(1-0)</f>
        <v>0</v>
      </c>
      <c r="AG48" s="60" t="s">
        <v>7</v>
      </c>
      <c r="AM48" s="65">
        <f>F48*AE48</f>
        <v>0</v>
      </c>
      <c r="AN48" s="65">
        <f>F48*AF48</f>
        <v>0</v>
      </c>
      <c r="AO48" s="66" t="s">
        <v>234</v>
      </c>
      <c r="AP48" s="66" t="s">
        <v>241</v>
      </c>
      <c r="AQ48" s="54" t="s">
        <v>244</v>
      </c>
      <c r="AS48" s="65">
        <f>AM48+AN48</f>
        <v>0</v>
      </c>
      <c r="AT48" s="65">
        <f>G48/(100-AU48)*100</f>
        <v>0</v>
      </c>
      <c r="AU48" s="65">
        <v>0</v>
      </c>
      <c r="AV48" s="65">
        <f>L48</f>
        <v>0.0540558</v>
      </c>
    </row>
    <row r="49" spans="1:37" ht="12.75">
      <c r="A49" s="11"/>
      <c r="B49" s="24"/>
      <c r="C49" s="24" t="s">
        <v>82</v>
      </c>
      <c r="D49" s="24" t="s">
        <v>149</v>
      </c>
      <c r="E49" s="35"/>
      <c r="F49" s="35"/>
      <c r="G49" s="35"/>
      <c r="H49" s="68">
        <f>SUM(H50:H60)</f>
        <v>0</v>
      </c>
      <c r="I49" s="68">
        <f>SUM(I50:I60)</f>
        <v>0</v>
      </c>
      <c r="J49" s="68">
        <f>H49+I49</f>
        <v>0</v>
      </c>
      <c r="K49" s="54"/>
      <c r="L49" s="68">
        <f>SUM(L50:L60)</f>
        <v>0</v>
      </c>
      <c r="M49" s="54"/>
      <c r="Y49" s="54"/>
      <c r="AI49" s="68">
        <f>SUM(Z50:Z60)</f>
        <v>0</v>
      </c>
      <c r="AJ49" s="68">
        <f>SUM(AA50:AA60)</f>
        <v>0</v>
      </c>
      <c r="AK49" s="68">
        <f>SUM(AB50:AB60)</f>
        <v>0</v>
      </c>
    </row>
    <row r="50" spans="1:48" ht="12.75">
      <c r="A50" s="10" t="s">
        <v>27</v>
      </c>
      <c r="B50" s="10"/>
      <c r="C50" s="10" t="s">
        <v>83</v>
      </c>
      <c r="D50" s="10" t="s">
        <v>150</v>
      </c>
      <c r="E50" s="10" t="s">
        <v>199</v>
      </c>
      <c r="F50" s="37">
        <v>26.37986</v>
      </c>
      <c r="G50" s="37">
        <v>0</v>
      </c>
      <c r="H50" s="37">
        <f>F50*AE50</f>
        <v>0</v>
      </c>
      <c r="I50" s="37">
        <f>J50-H50</f>
        <v>0</v>
      </c>
      <c r="J50" s="37">
        <f>F50*G50</f>
        <v>0</v>
      </c>
      <c r="K50" s="37">
        <v>0</v>
      </c>
      <c r="L50" s="37">
        <f>F50*K50</f>
        <v>0</v>
      </c>
      <c r="M50" s="60" t="s">
        <v>218</v>
      </c>
      <c r="P50" s="65">
        <f>IF(AG50="5",J50,0)</f>
        <v>0</v>
      </c>
      <c r="R50" s="65">
        <f>IF(AG50="1",H50,0)</f>
        <v>0</v>
      </c>
      <c r="S50" s="65">
        <f>IF(AG50="1",I50,0)</f>
        <v>0</v>
      </c>
      <c r="T50" s="65">
        <f>IF(AG50="7",H50,0)</f>
        <v>0</v>
      </c>
      <c r="U50" s="65">
        <f>IF(AG50="7",I50,0)</f>
        <v>0</v>
      </c>
      <c r="V50" s="65">
        <f>IF(AG50="2",H50,0)</f>
        <v>0</v>
      </c>
      <c r="W50" s="65">
        <f>IF(AG50="2",I50,0)</f>
        <v>0</v>
      </c>
      <c r="X50" s="65">
        <f>IF(AG50="0",J50,0)</f>
        <v>0</v>
      </c>
      <c r="Y50" s="54"/>
      <c r="Z50" s="37">
        <f>IF(AD50=0,J50,0)</f>
        <v>0</v>
      </c>
      <c r="AA50" s="37">
        <f>IF(AD50=15,J50,0)</f>
        <v>0</v>
      </c>
      <c r="AB50" s="37">
        <f>IF(AD50=21,J50,0)</f>
        <v>0</v>
      </c>
      <c r="AD50" s="65">
        <v>15</v>
      </c>
      <c r="AE50" s="65">
        <f>G50*0</f>
        <v>0</v>
      </c>
      <c r="AF50" s="65">
        <f>G50*(1-0)</f>
        <v>0</v>
      </c>
      <c r="AG50" s="60" t="s">
        <v>11</v>
      </c>
      <c r="AM50" s="65">
        <f>F50*AE50</f>
        <v>0</v>
      </c>
      <c r="AN50" s="65">
        <f>F50*AF50</f>
        <v>0</v>
      </c>
      <c r="AO50" s="66" t="s">
        <v>235</v>
      </c>
      <c r="AP50" s="66" t="s">
        <v>241</v>
      </c>
      <c r="AQ50" s="54" t="s">
        <v>244</v>
      </c>
      <c r="AS50" s="65">
        <f>AM50+AN50</f>
        <v>0</v>
      </c>
      <c r="AT50" s="65">
        <f>G50/(100-AU50)*100</f>
        <v>0</v>
      </c>
      <c r="AU50" s="65">
        <v>0</v>
      </c>
      <c r="AV50" s="65">
        <f>L50</f>
        <v>0</v>
      </c>
    </row>
    <row r="51" spans="1:48" ht="12.75">
      <c r="A51" s="10" t="s">
        <v>28</v>
      </c>
      <c r="B51" s="10"/>
      <c r="C51" s="10" t="s">
        <v>84</v>
      </c>
      <c r="D51" s="10" t="s">
        <v>151</v>
      </c>
      <c r="E51" s="10" t="s">
        <v>199</v>
      </c>
      <c r="F51" s="37">
        <v>105.51944</v>
      </c>
      <c r="G51" s="37">
        <v>0</v>
      </c>
      <c r="H51" s="37">
        <f>F51*AE51</f>
        <v>0</v>
      </c>
      <c r="I51" s="37">
        <f>J51-H51</f>
        <v>0</v>
      </c>
      <c r="J51" s="37">
        <f>F51*G51</f>
        <v>0</v>
      </c>
      <c r="K51" s="37">
        <v>0</v>
      </c>
      <c r="L51" s="37">
        <f>F51*K51</f>
        <v>0</v>
      </c>
      <c r="M51" s="60" t="s">
        <v>218</v>
      </c>
      <c r="P51" s="65">
        <f>IF(AG51="5",J51,0)</f>
        <v>0</v>
      </c>
      <c r="R51" s="65">
        <f>IF(AG51="1",H51,0)</f>
        <v>0</v>
      </c>
      <c r="S51" s="65">
        <f>IF(AG51="1",I51,0)</f>
        <v>0</v>
      </c>
      <c r="T51" s="65">
        <f>IF(AG51="7",H51,0)</f>
        <v>0</v>
      </c>
      <c r="U51" s="65">
        <f>IF(AG51="7",I51,0)</f>
        <v>0</v>
      </c>
      <c r="V51" s="65">
        <f>IF(AG51="2",H51,0)</f>
        <v>0</v>
      </c>
      <c r="W51" s="65">
        <f>IF(AG51="2",I51,0)</f>
        <v>0</v>
      </c>
      <c r="X51" s="65">
        <f>IF(AG51="0",J51,0)</f>
        <v>0</v>
      </c>
      <c r="Y51" s="54"/>
      <c r="Z51" s="37">
        <f>IF(AD51=0,J51,0)</f>
        <v>0</v>
      </c>
      <c r="AA51" s="37">
        <f>IF(AD51=15,J51,0)</f>
        <v>0</v>
      </c>
      <c r="AB51" s="37">
        <f>IF(AD51=21,J51,0)</f>
        <v>0</v>
      </c>
      <c r="AD51" s="65">
        <v>15</v>
      </c>
      <c r="AE51" s="65">
        <f>G51*0</f>
        <v>0</v>
      </c>
      <c r="AF51" s="65">
        <f>G51*(1-0)</f>
        <v>0</v>
      </c>
      <c r="AG51" s="60" t="s">
        <v>11</v>
      </c>
      <c r="AM51" s="65">
        <f>F51*AE51</f>
        <v>0</v>
      </c>
      <c r="AN51" s="65">
        <f>F51*AF51</f>
        <v>0</v>
      </c>
      <c r="AO51" s="66" t="s">
        <v>235</v>
      </c>
      <c r="AP51" s="66" t="s">
        <v>241</v>
      </c>
      <c r="AQ51" s="54" t="s">
        <v>244</v>
      </c>
      <c r="AS51" s="65">
        <f>AM51+AN51</f>
        <v>0</v>
      </c>
      <c r="AT51" s="65">
        <f>G51/(100-AU51)*100</f>
        <v>0</v>
      </c>
      <c r="AU51" s="65">
        <v>0</v>
      </c>
      <c r="AV51" s="65">
        <f>L51</f>
        <v>0</v>
      </c>
    </row>
    <row r="52" spans="4:6" ht="12.75">
      <c r="D52" s="30" t="s">
        <v>152</v>
      </c>
      <c r="F52" s="38">
        <v>105.51944</v>
      </c>
    </row>
    <row r="53" spans="1:48" ht="12.75">
      <c r="A53" s="10" t="s">
        <v>29</v>
      </c>
      <c r="B53" s="10"/>
      <c r="C53" s="10" t="s">
        <v>85</v>
      </c>
      <c r="D53" s="10" t="s">
        <v>153</v>
      </c>
      <c r="E53" s="10" t="s">
        <v>199</v>
      </c>
      <c r="F53" s="37">
        <v>3.49126</v>
      </c>
      <c r="G53" s="37">
        <v>0</v>
      </c>
      <c r="H53" s="37">
        <f>F53*AE53</f>
        <v>0</v>
      </c>
      <c r="I53" s="37">
        <f>J53-H53</f>
        <v>0</v>
      </c>
      <c r="J53" s="37">
        <f>F53*G53</f>
        <v>0</v>
      </c>
      <c r="K53" s="37">
        <v>0</v>
      </c>
      <c r="L53" s="37">
        <f>F53*K53</f>
        <v>0</v>
      </c>
      <c r="M53" s="60" t="s">
        <v>218</v>
      </c>
      <c r="P53" s="65">
        <f>IF(AG53="5",J53,0)</f>
        <v>0</v>
      </c>
      <c r="R53" s="65">
        <f>IF(AG53="1",H53,0)</f>
        <v>0</v>
      </c>
      <c r="S53" s="65">
        <f>IF(AG53="1",I53,0)</f>
        <v>0</v>
      </c>
      <c r="T53" s="65">
        <f>IF(AG53="7",H53,0)</f>
        <v>0</v>
      </c>
      <c r="U53" s="65">
        <f>IF(AG53="7",I53,0)</f>
        <v>0</v>
      </c>
      <c r="V53" s="65">
        <f>IF(AG53="2",H53,0)</f>
        <v>0</v>
      </c>
      <c r="W53" s="65">
        <f>IF(AG53="2",I53,0)</f>
        <v>0</v>
      </c>
      <c r="X53" s="65">
        <f>IF(AG53="0",J53,0)</f>
        <v>0</v>
      </c>
      <c r="Y53" s="54"/>
      <c r="Z53" s="37">
        <f>IF(AD53=0,J53,0)</f>
        <v>0</v>
      </c>
      <c r="AA53" s="37">
        <f>IF(AD53=15,J53,0)</f>
        <v>0</v>
      </c>
      <c r="AB53" s="37">
        <f>IF(AD53=21,J53,0)</f>
        <v>0</v>
      </c>
      <c r="AD53" s="65">
        <v>15</v>
      </c>
      <c r="AE53" s="65">
        <f>G53*0</f>
        <v>0</v>
      </c>
      <c r="AF53" s="65">
        <f>G53*(1-0)</f>
        <v>0</v>
      </c>
      <c r="AG53" s="60" t="s">
        <v>11</v>
      </c>
      <c r="AM53" s="65">
        <f>F53*AE53</f>
        <v>0</v>
      </c>
      <c r="AN53" s="65">
        <f>F53*AF53</f>
        <v>0</v>
      </c>
      <c r="AO53" s="66" t="s">
        <v>235</v>
      </c>
      <c r="AP53" s="66" t="s">
        <v>241</v>
      </c>
      <c r="AQ53" s="54" t="s">
        <v>244</v>
      </c>
      <c r="AS53" s="65">
        <f>AM53+AN53</f>
        <v>0</v>
      </c>
      <c r="AT53" s="65">
        <f>G53/(100-AU53)*100</f>
        <v>0</v>
      </c>
      <c r="AU53" s="65">
        <v>0</v>
      </c>
      <c r="AV53" s="65">
        <f>L53</f>
        <v>0</v>
      </c>
    </row>
    <row r="54" spans="4:6" ht="12.75">
      <c r="D54" s="30" t="s">
        <v>154</v>
      </c>
      <c r="F54" s="38">
        <v>3.49126</v>
      </c>
    </row>
    <row r="55" spans="1:48" ht="12.75">
      <c r="A55" s="10" t="s">
        <v>30</v>
      </c>
      <c r="B55" s="10"/>
      <c r="C55" s="10" t="s">
        <v>86</v>
      </c>
      <c r="D55" s="10" t="s">
        <v>155</v>
      </c>
      <c r="E55" s="10" t="s">
        <v>199</v>
      </c>
      <c r="F55" s="37">
        <v>22.8886</v>
      </c>
      <c r="G55" s="37">
        <v>0</v>
      </c>
      <c r="H55" s="37">
        <f>F55*AE55</f>
        <v>0</v>
      </c>
      <c r="I55" s="37">
        <f>J55-H55</f>
        <v>0</v>
      </c>
      <c r="J55" s="37">
        <f>F55*G55</f>
        <v>0</v>
      </c>
      <c r="K55" s="37">
        <v>0</v>
      </c>
      <c r="L55" s="37">
        <f>F55*K55</f>
        <v>0</v>
      </c>
      <c r="M55" s="60" t="s">
        <v>218</v>
      </c>
      <c r="P55" s="65">
        <f>IF(AG55="5",J55,0)</f>
        <v>0</v>
      </c>
      <c r="R55" s="65">
        <f>IF(AG55="1",H55,0)</f>
        <v>0</v>
      </c>
      <c r="S55" s="65">
        <f>IF(AG55="1",I55,0)</f>
        <v>0</v>
      </c>
      <c r="T55" s="65">
        <f>IF(AG55="7",H55,0)</f>
        <v>0</v>
      </c>
      <c r="U55" s="65">
        <f>IF(AG55="7",I55,0)</f>
        <v>0</v>
      </c>
      <c r="V55" s="65">
        <f>IF(AG55="2",H55,0)</f>
        <v>0</v>
      </c>
      <c r="W55" s="65">
        <f>IF(AG55="2",I55,0)</f>
        <v>0</v>
      </c>
      <c r="X55" s="65">
        <f>IF(AG55="0",J55,0)</f>
        <v>0</v>
      </c>
      <c r="Y55" s="54"/>
      <c r="Z55" s="37">
        <f>IF(AD55=0,J55,0)</f>
        <v>0</v>
      </c>
      <c r="AA55" s="37">
        <f>IF(AD55=15,J55,0)</f>
        <v>0</v>
      </c>
      <c r="AB55" s="37">
        <f>IF(AD55=21,J55,0)</f>
        <v>0</v>
      </c>
      <c r="AD55" s="65">
        <v>15</v>
      </c>
      <c r="AE55" s="65">
        <f>G55*0</f>
        <v>0</v>
      </c>
      <c r="AF55" s="65">
        <f>G55*(1-0)</f>
        <v>0</v>
      </c>
      <c r="AG55" s="60" t="s">
        <v>11</v>
      </c>
      <c r="AM55" s="65">
        <f>F55*AE55</f>
        <v>0</v>
      </c>
      <c r="AN55" s="65">
        <f>F55*AF55</f>
        <v>0</v>
      </c>
      <c r="AO55" s="66" t="s">
        <v>235</v>
      </c>
      <c r="AP55" s="66" t="s">
        <v>241</v>
      </c>
      <c r="AQ55" s="54" t="s">
        <v>244</v>
      </c>
      <c r="AS55" s="65">
        <f>AM55+AN55</f>
        <v>0</v>
      </c>
      <c r="AT55" s="65">
        <f>G55/(100-AU55)*100</f>
        <v>0</v>
      </c>
      <c r="AU55" s="65">
        <v>0</v>
      </c>
      <c r="AV55" s="65">
        <f>L55</f>
        <v>0</v>
      </c>
    </row>
    <row r="56" spans="1:48" ht="12.75">
      <c r="A56" s="10" t="s">
        <v>31</v>
      </c>
      <c r="B56" s="10"/>
      <c r="C56" s="10" t="s">
        <v>87</v>
      </c>
      <c r="D56" s="10" t="s">
        <v>156</v>
      </c>
      <c r="E56" s="10" t="s">
        <v>199</v>
      </c>
      <c r="F56" s="37">
        <v>8.7933</v>
      </c>
      <c r="G56" s="37">
        <v>0</v>
      </c>
      <c r="H56" s="37">
        <f>F56*AE56</f>
        <v>0</v>
      </c>
      <c r="I56" s="37">
        <f>J56-H56</f>
        <v>0</v>
      </c>
      <c r="J56" s="37">
        <f>F56*G56</f>
        <v>0</v>
      </c>
      <c r="K56" s="37">
        <v>0</v>
      </c>
      <c r="L56" s="37">
        <f>F56*K56</f>
        <v>0</v>
      </c>
      <c r="M56" s="60" t="s">
        <v>218</v>
      </c>
      <c r="P56" s="65">
        <f>IF(AG56="5",J56,0)</f>
        <v>0</v>
      </c>
      <c r="R56" s="65">
        <f>IF(AG56="1",H56,0)</f>
        <v>0</v>
      </c>
      <c r="S56" s="65">
        <f>IF(AG56="1",I56,0)</f>
        <v>0</v>
      </c>
      <c r="T56" s="65">
        <f>IF(AG56="7",H56,0)</f>
        <v>0</v>
      </c>
      <c r="U56" s="65">
        <f>IF(AG56="7",I56,0)</f>
        <v>0</v>
      </c>
      <c r="V56" s="65">
        <f>IF(AG56="2",H56,0)</f>
        <v>0</v>
      </c>
      <c r="W56" s="65">
        <f>IF(AG56="2",I56,0)</f>
        <v>0</v>
      </c>
      <c r="X56" s="65">
        <f>IF(AG56="0",J56,0)</f>
        <v>0</v>
      </c>
      <c r="Y56" s="54"/>
      <c r="Z56" s="37">
        <f>IF(AD56=0,J56,0)</f>
        <v>0</v>
      </c>
      <c r="AA56" s="37">
        <f>IF(AD56=15,J56,0)</f>
        <v>0</v>
      </c>
      <c r="AB56" s="37">
        <f>IF(AD56=21,J56,0)</f>
        <v>0</v>
      </c>
      <c r="AD56" s="65">
        <v>15</v>
      </c>
      <c r="AE56" s="65">
        <f>G56*0</f>
        <v>0</v>
      </c>
      <c r="AF56" s="65">
        <f>G56*(1-0)</f>
        <v>0</v>
      </c>
      <c r="AG56" s="60" t="s">
        <v>11</v>
      </c>
      <c r="AM56" s="65">
        <f>F56*AE56</f>
        <v>0</v>
      </c>
      <c r="AN56" s="65">
        <f>F56*AF56</f>
        <v>0</v>
      </c>
      <c r="AO56" s="66" t="s">
        <v>235</v>
      </c>
      <c r="AP56" s="66" t="s">
        <v>241</v>
      </c>
      <c r="AQ56" s="54" t="s">
        <v>244</v>
      </c>
      <c r="AS56" s="65">
        <f>AM56+AN56</f>
        <v>0</v>
      </c>
      <c r="AT56" s="65">
        <f>G56/(100-AU56)*100</f>
        <v>0</v>
      </c>
      <c r="AU56" s="65">
        <v>0</v>
      </c>
      <c r="AV56" s="65">
        <f>L56</f>
        <v>0</v>
      </c>
    </row>
    <row r="57" spans="1:48" ht="12.75">
      <c r="A57" s="10" t="s">
        <v>32</v>
      </c>
      <c r="B57" s="10"/>
      <c r="C57" s="10" t="s">
        <v>88</v>
      </c>
      <c r="D57" s="10" t="s">
        <v>157</v>
      </c>
      <c r="E57" s="10" t="s">
        <v>199</v>
      </c>
      <c r="F57" s="37">
        <v>17.5866</v>
      </c>
      <c r="G57" s="37">
        <v>0</v>
      </c>
      <c r="H57" s="37">
        <f>F57*AE57</f>
        <v>0</v>
      </c>
      <c r="I57" s="37">
        <f>J57-H57</f>
        <v>0</v>
      </c>
      <c r="J57" s="37">
        <f>F57*G57</f>
        <v>0</v>
      </c>
      <c r="K57" s="37">
        <v>0</v>
      </c>
      <c r="L57" s="37">
        <f>F57*K57</f>
        <v>0</v>
      </c>
      <c r="M57" s="60" t="s">
        <v>218</v>
      </c>
      <c r="P57" s="65">
        <f>IF(AG57="5",J57,0)</f>
        <v>0</v>
      </c>
      <c r="R57" s="65">
        <f>IF(AG57="1",H57,0)</f>
        <v>0</v>
      </c>
      <c r="S57" s="65">
        <f>IF(AG57="1",I57,0)</f>
        <v>0</v>
      </c>
      <c r="T57" s="65">
        <f>IF(AG57="7",H57,0)</f>
        <v>0</v>
      </c>
      <c r="U57" s="65">
        <f>IF(AG57="7",I57,0)</f>
        <v>0</v>
      </c>
      <c r="V57" s="65">
        <f>IF(AG57="2",H57,0)</f>
        <v>0</v>
      </c>
      <c r="W57" s="65">
        <f>IF(AG57="2",I57,0)</f>
        <v>0</v>
      </c>
      <c r="X57" s="65">
        <f>IF(AG57="0",J57,0)</f>
        <v>0</v>
      </c>
      <c r="Y57" s="54"/>
      <c r="Z57" s="37">
        <f>IF(AD57=0,J57,0)</f>
        <v>0</v>
      </c>
      <c r="AA57" s="37">
        <f>IF(AD57=15,J57,0)</f>
        <v>0</v>
      </c>
      <c r="AB57" s="37">
        <f>IF(AD57=21,J57,0)</f>
        <v>0</v>
      </c>
      <c r="AD57" s="65">
        <v>15</v>
      </c>
      <c r="AE57" s="65">
        <f>G57*0</f>
        <v>0</v>
      </c>
      <c r="AF57" s="65">
        <f>G57*(1-0)</f>
        <v>0</v>
      </c>
      <c r="AG57" s="60" t="s">
        <v>11</v>
      </c>
      <c r="AM57" s="65">
        <f>F57*AE57</f>
        <v>0</v>
      </c>
      <c r="AN57" s="65">
        <f>F57*AF57</f>
        <v>0</v>
      </c>
      <c r="AO57" s="66" t="s">
        <v>235</v>
      </c>
      <c r="AP57" s="66" t="s">
        <v>241</v>
      </c>
      <c r="AQ57" s="54" t="s">
        <v>244</v>
      </c>
      <c r="AS57" s="65">
        <f>AM57+AN57</f>
        <v>0</v>
      </c>
      <c r="AT57" s="65">
        <f>G57/(100-AU57)*100</f>
        <v>0</v>
      </c>
      <c r="AU57" s="65">
        <v>0</v>
      </c>
      <c r="AV57" s="65">
        <f>L57</f>
        <v>0</v>
      </c>
    </row>
    <row r="58" spans="4:6" ht="12.75">
      <c r="D58" s="30" t="s">
        <v>158</v>
      </c>
      <c r="F58" s="38">
        <v>17.5866</v>
      </c>
    </row>
    <row r="59" spans="1:48" ht="12.75">
      <c r="A59" s="10" t="s">
        <v>33</v>
      </c>
      <c r="B59" s="10"/>
      <c r="C59" s="10" t="s">
        <v>89</v>
      </c>
      <c r="D59" s="10" t="s">
        <v>159</v>
      </c>
      <c r="E59" s="10" t="s">
        <v>199</v>
      </c>
      <c r="F59" s="37">
        <v>26.37986</v>
      </c>
      <c r="G59" s="37">
        <v>0</v>
      </c>
      <c r="H59" s="37">
        <f>F59*AE59</f>
        <v>0</v>
      </c>
      <c r="I59" s="37">
        <f>J59-H59</f>
        <v>0</v>
      </c>
      <c r="J59" s="37">
        <f>F59*G59</f>
        <v>0</v>
      </c>
      <c r="K59" s="37">
        <v>0</v>
      </c>
      <c r="L59" s="37">
        <f>F59*K59</f>
        <v>0</v>
      </c>
      <c r="M59" s="60" t="s">
        <v>218</v>
      </c>
      <c r="P59" s="65">
        <f>IF(AG59="5",J59,0)</f>
        <v>0</v>
      </c>
      <c r="R59" s="65">
        <f>IF(AG59="1",H59,0)</f>
        <v>0</v>
      </c>
      <c r="S59" s="65">
        <f>IF(AG59="1",I59,0)</f>
        <v>0</v>
      </c>
      <c r="T59" s="65">
        <f>IF(AG59="7",H59,0)</f>
        <v>0</v>
      </c>
      <c r="U59" s="65">
        <f>IF(AG59="7",I59,0)</f>
        <v>0</v>
      </c>
      <c r="V59" s="65">
        <f>IF(AG59="2",H59,0)</f>
        <v>0</v>
      </c>
      <c r="W59" s="65">
        <f>IF(AG59="2",I59,0)</f>
        <v>0</v>
      </c>
      <c r="X59" s="65">
        <f>IF(AG59="0",J59,0)</f>
        <v>0</v>
      </c>
      <c r="Y59" s="54"/>
      <c r="Z59" s="37">
        <f>IF(AD59=0,J59,0)</f>
        <v>0</v>
      </c>
      <c r="AA59" s="37">
        <f>IF(AD59=15,J59,0)</f>
        <v>0</v>
      </c>
      <c r="AB59" s="37">
        <f>IF(AD59=21,J59,0)</f>
        <v>0</v>
      </c>
      <c r="AD59" s="65">
        <v>15</v>
      </c>
      <c r="AE59" s="65">
        <f>G59*0</f>
        <v>0</v>
      </c>
      <c r="AF59" s="65">
        <f>G59*(1-0)</f>
        <v>0</v>
      </c>
      <c r="AG59" s="60" t="s">
        <v>11</v>
      </c>
      <c r="AM59" s="65">
        <f>F59*AE59</f>
        <v>0</v>
      </c>
      <c r="AN59" s="65">
        <f>F59*AF59</f>
        <v>0</v>
      </c>
      <c r="AO59" s="66" t="s">
        <v>235</v>
      </c>
      <c r="AP59" s="66" t="s">
        <v>241</v>
      </c>
      <c r="AQ59" s="54" t="s">
        <v>244</v>
      </c>
      <c r="AS59" s="65">
        <f>AM59+AN59</f>
        <v>0</v>
      </c>
      <c r="AT59" s="65">
        <f>G59/(100-AU59)*100</f>
        <v>0</v>
      </c>
      <c r="AU59" s="65">
        <v>0</v>
      </c>
      <c r="AV59" s="65">
        <f>L59</f>
        <v>0</v>
      </c>
    </row>
    <row r="60" spans="1:48" ht="12.75">
      <c r="A60" s="10" t="s">
        <v>34</v>
      </c>
      <c r="B60" s="10"/>
      <c r="C60" s="10" t="s">
        <v>90</v>
      </c>
      <c r="D60" s="10" t="s">
        <v>160</v>
      </c>
      <c r="E60" s="10" t="s">
        <v>199</v>
      </c>
      <c r="F60" s="37">
        <v>422.07776</v>
      </c>
      <c r="G60" s="37">
        <v>0</v>
      </c>
      <c r="H60" s="37">
        <f>F60*AE60</f>
        <v>0</v>
      </c>
      <c r="I60" s="37">
        <f>J60-H60</f>
        <v>0</v>
      </c>
      <c r="J60" s="37">
        <f>F60*G60</f>
        <v>0</v>
      </c>
      <c r="K60" s="37">
        <v>0</v>
      </c>
      <c r="L60" s="37">
        <f>F60*K60</f>
        <v>0</v>
      </c>
      <c r="M60" s="60" t="s">
        <v>218</v>
      </c>
      <c r="P60" s="65">
        <f>IF(AG60="5",J60,0)</f>
        <v>0</v>
      </c>
      <c r="R60" s="65">
        <f>IF(AG60="1",H60,0)</f>
        <v>0</v>
      </c>
      <c r="S60" s="65">
        <f>IF(AG60="1",I60,0)</f>
        <v>0</v>
      </c>
      <c r="T60" s="65">
        <f>IF(AG60="7",H60,0)</f>
        <v>0</v>
      </c>
      <c r="U60" s="65">
        <f>IF(AG60="7",I60,0)</f>
        <v>0</v>
      </c>
      <c r="V60" s="65">
        <f>IF(AG60="2",H60,0)</f>
        <v>0</v>
      </c>
      <c r="W60" s="65">
        <f>IF(AG60="2",I60,0)</f>
        <v>0</v>
      </c>
      <c r="X60" s="65">
        <f>IF(AG60="0",J60,0)</f>
        <v>0</v>
      </c>
      <c r="Y60" s="54"/>
      <c r="Z60" s="37">
        <f>IF(AD60=0,J60,0)</f>
        <v>0</v>
      </c>
      <c r="AA60" s="37">
        <f>IF(AD60=15,J60,0)</f>
        <v>0</v>
      </c>
      <c r="AB60" s="37">
        <f>IF(AD60=21,J60,0)</f>
        <v>0</v>
      </c>
      <c r="AD60" s="65">
        <v>15</v>
      </c>
      <c r="AE60" s="65">
        <f>G60*0</f>
        <v>0</v>
      </c>
      <c r="AF60" s="65">
        <f>G60*(1-0)</f>
        <v>0</v>
      </c>
      <c r="AG60" s="60" t="s">
        <v>11</v>
      </c>
      <c r="AM60" s="65">
        <f>F60*AE60</f>
        <v>0</v>
      </c>
      <c r="AN60" s="65">
        <f>F60*AF60</f>
        <v>0</v>
      </c>
      <c r="AO60" s="66" t="s">
        <v>235</v>
      </c>
      <c r="AP60" s="66" t="s">
        <v>241</v>
      </c>
      <c r="AQ60" s="54" t="s">
        <v>244</v>
      </c>
      <c r="AS60" s="65">
        <f>AM60+AN60</f>
        <v>0</v>
      </c>
      <c r="AT60" s="65">
        <f>G60/(100-AU60)*100</f>
        <v>0</v>
      </c>
      <c r="AU60" s="65">
        <v>0</v>
      </c>
      <c r="AV60" s="65">
        <f>L60</f>
        <v>0</v>
      </c>
    </row>
    <row r="61" spans="4:6" ht="12.75">
      <c r="D61" s="30" t="s">
        <v>161</v>
      </c>
      <c r="F61" s="38">
        <v>422.07776</v>
      </c>
    </row>
    <row r="62" spans="1:37" ht="12.75">
      <c r="A62" s="11"/>
      <c r="B62" s="24"/>
      <c r="C62" s="24" t="s">
        <v>91</v>
      </c>
      <c r="D62" s="24" t="s">
        <v>162</v>
      </c>
      <c r="E62" s="35"/>
      <c r="F62" s="35"/>
      <c r="G62" s="35"/>
      <c r="H62" s="68">
        <f>SUM(H63:H65)</f>
        <v>0</v>
      </c>
      <c r="I62" s="68">
        <f>SUM(I63:I65)</f>
        <v>0</v>
      </c>
      <c r="J62" s="68">
        <f>H62+I62</f>
        <v>0</v>
      </c>
      <c r="K62" s="54"/>
      <c r="L62" s="68">
        <f>SUM(L63:L65)</f>
        <v>0</v>
      </c>
      <c r="M62" s="54"/>
      <c r="Y62" s="54"/>
      <c r="AI62" s="68">
        <f>SUM(Z63:Z65)</f>
        <v>0</v>
      </c>
      <c r="AJ62" s="68">
        <f>SUM(AA63:AA65)</f>
        <v>0</v>
      </c>
      <c r="AK62" s="68">
        <f>SUM(AB63:AB65)</f>
        <v>0</v>
      </c>
    </row>
    <row r="63" spans="1:48" ht="12.75">
      <c r="A63" s="10" t="s">
        <v>35</v>
      </c>
      <c r="B63" s="10"/>
      <c r="C63" s="10" t="s">
        <v>92</v>
      </c>
      <c r="D63" s="10" t="s">
        <v>163</v>
      </c>
      <c r="E63" s="10" t="s">
        <v>197</v>
      </c>
      <c r="F63" s="37">
        <v>159.31</v>
      </c>
      <c r="G63" s="37">
        <v>0</v>
      </c>
      <c r="H63" s="37">
        <f>F63*AE63</f>
        <v>0</v>
      </c>
      <c r="I63" s="37">
        <f>J63-H63</f>
        <v>0</v>
      </c>
      <c r="J63" s="37">
        <f>F63*G63</f>
        <v>0</v>
      </c>
      <c r="K63" s="37">
        <v>0</v>
      </c>
      <c r="L63" s="37">
        <f>F63*K63</f>
        <v>0</v>
      </c>
      <c r="M63" s="60"/>
      <c r="P63" s="65">
        <f>IF(AG63="5",J63,0)</f>
        <v>0</v>
      </c>
      <c r="R63" s="65">
        <f>IF(AG63="1",H63,0)</f>
        <v>0</v>
      </c>
      <c r="S63" s="65">
        <f>IF(AG63="1",I63,0)</f>
        <v>0</v>
      </c>
      <c r="T63" s="65">
        <f>IF(AG63="7",H63,0)</f>
        <v>0</v>
      </c>
      <c r="U63" s="65">
        <f>IF(AG63="7",I63,0)</f>
        <v>0</v>
      </c>
      <c r="V63" s="65">
        <f>IF(AG63="2",H63,0)</f>
        <v>0</v>
      </c>
      <c r="W63" s="65">
        <f>IF(AG63="2",I63,0)</f>
        <v>0</v>
      </c>
      <c r="X63" s="65">
        <f>IF(AG63="0",J63,0)</f>
        <v>0</v>
      </c>
      <c r="Y63" s="54"/>
      <c r="Z63" s="37">
        <f>IF(AD63=0,J63,0)</f>
        <v>0</v>
      </c>
      <c r="AA63" s="37">
        <f>IF(AD63=15,J63,0)</f>
        <v>0</v>
      </c>
      <c r="AB63" s="37">
        <f>IF(AD63=21,J63,0)</f>
        <v>0</v>
      </c>
      <c r="AD63" s="65">
        <v>15</v>
      </c>
      <c r="AE63" s="65">
        <f>G63*1</f>
        <v>0</v>
      </c>
      <c r="AF63" s="65">
        <f>G63*(1-1)</f>
        <v>0</v>
      </c>
      <c r="AG63" s="60" t="s">
        <v>13</v>
      </c>
      <c r="AM63" s="65">
        <f>F63*AE63</f>
        <v>0</v>
      </c>
      <c r="AN63" s="65">
        <f>F63*AF63</f>
        <v>0</v>
      </c>
      <c r="AO63" s="66" t="s">
        <v>236</v>
      </c>
      <c r="AP63" s="66" t="s">
        <v>242</v>
      </c>
      <c r="AQ63" s="54" t="s">
        <v>244</v>
      </c>
      <c r="AS63" s="65">
        <f>AM63+AN63</f>
        <v>0</v>
      </c>
      <c r="AT63" s="65">
        <f>G63/(100-AU63)*100</f>
        <v>0</v>
      </c>
      <c r="AU63" s="65">
        <v>0</v>
      </c>
      <c r="AV63" s="65">
        <f>L63</f>
        <v>0</v>
      </c>
    </row>
    <row r="64" spans="3:13" ht="12.75">
      <c r="C64" s="25" t="s">
        <v>52</v>
      </c>
      <c r="D64" s="29" t="s">
        <v>164</v>
      </c>
      <c r="E64" s="34"/>
      <c r="F64" s="34"/>
      <c r="G64" s="34"/>
      <c r="H64" s="34"/>
      <c r="I64" s="34"/>
      <c r="J64" s="34"/>
      <c r="K64" s="34"/>
      <c r="L64" s="34"/>
      <c r="M64" s="34"/>
    </row>
    <row r="65" spans="1:48" ht="12.75">
      <c r="A65" s="10" t="s">
        <v>36</v>
      </c>
      <c r="B65" s="10"/>
      <c r="C65" s="10" t="s">
        <v>93</v>
      </c>
      <c r="D65" s="10" t="s">
        <v>165</v>
      </c>
      <c r="E65" s="10" t="s">
        <v>199</v>
      </c>
      <c r="F65" s="37">
        <v>0.052</v>
      </c>
      <c r="G65" s="37">
        <v>0</v>
      </c>
      <c r="H65" s="37">
        <f>F65*AE65</f>
        <v>0</v>
      </c>
      <c r="I65" s="37">
        <f>J65-H65</f>
        <v>0</v>
      </c>
      <c r="J65" s="37">
        <f>F65*G65</f>
        <v>0</v>
      </c>
      <c r="K65" s="37">
        <v>0</v>
      </c>
      <c r="L65" s="37">
        <f>F65*K65</f>
        <v>0</v>
      </c>
      <c r="M65" s="60" t="s">
        <v>218</v>
      </c>
      <c r="P65" s="65">
        <f>IF(AG65="5",J65,0)</f>
        <v>0</v>
      </c>
      <c r="R65" s="65">
        <f>IF(AG65="1",H65,0)</f>
        <v>0</v>
      </c>
      <c r="S65" s="65">
        <f>IF(AG65="1",I65,0)</f>
        <v>0</v>
      </c>
      <c r="T65" s="65">
        <f>IF(AG65="7",H65,0)</f>
        <v>0</v>
      </c>
      <c r="U65" s="65">
        <f>IF(AG65="7",I65,0)</f>
        <v>0</v>
      </c>
      <c r="V65" s="65">
        <f>IF(AG65="2",H65,0)</f>
        <v>0</v>
      </c>
      <c r="W65" s="65">
        <f>IF(AG65="2",I65,0)</f>
        <v>0</v>
      </c>
      <c r="X65" s="65">
        <f>IF(AG65="0",J65,0)</f>
        <v>0</v>
      </c>
      <c r="Y65" s="54"/>
      <c r="Z65" s="37">
        <f>IF(AD65=0,J65,0)</f>
        <v>0</v>
      </c>
      <c r="AA65" s="37">
        <f>IF(AD65=15,J65,0)</f>
        <v>0</v>
      </c>
      <c r="AB65" s="37">
        <f>IF(AD65=21,J65,0)</f>
        <v>0</v>
      </c>
      <c r="AD65" s="65">
        <v>15</v>
      </c>
      <c r="AE65" s="65">
        <f>G65*0</f>
        <v>0</v>
      </c>
      <c r="AF65" s="65">
        <f>G65*(1-0)</f>
        <v>0</v>
      </c>
      <c r="AG65" s="60" t="s">
        <v>11</v>
      </c>
      <c r="AM65" s="65">
        <f>F65*AE65</f>
        <v>0</v>
      </c>
      <c r="AN65" s="65">
        <f>F65*AF65</f>
        <v>0</v>
      </c>
      <c r="AO65" s="66" t="s">
        <v>236</v>
      </c>
      <c r="AP65" s="66" t="s">
        <v>242</v>
      </c>
      <c r="AQ65" s="54" t="s">
        <v>244</v>
      </c>
      <c r="AS65" s="65">
        <f>AM65+AN65</f>
        <v>0</v>
      </c>
      <c r="AT65" s="65">
        <f>G65/(100-AU65)*100</f>
        <v>0</v>
      </c>
      <c r="AU65" s="65">
        <v>0</v>
      </c>
      <c r="AV65" s="65">
        <f>L65</f>
        <v>0</v>
      </c>
    </row>
    <row r="66" spans="1:37" ht="12.75">
      <c r="A66" s="11"/>
      <c r="B66" s="24"/>
      <c r="C66" s="24" t="s">
        <v>94</v>
      </c>
      <c r="D66" s="24" t="s">
        <v>166</v>
      </c>
      <c r="E66" s="35"/>
      <c r="F66" s="35"/>
      <c r="G66" s="35"/>
      <c r="H66" s="68">
        <f>SUM(H67:H77)</f>
        <v>0</v>
      </c>
      <c r="I66" s="68">
        <f>SUM(I67:I77)</f>
        <v>0</v>
      </c>
      <c r="J66" s="68">
        <f>H66+I66</f>
        <v>0</v>
      </c>
      <c r="K66" s="54"/>
      <c r="L66" s="68">
        <f>SUM(L67:L77)</f>
        <v>0.12854520000000003</v>
      </c>
      <c r="M66" s="54"/>
      <c r="Y66" s="54"/>
      <c r="AI66" s="68">
        <f>SUM(Z67:Z77)</f>
        <v>0</v>
      </c>
      <c r="AJ66" s="68">
        <f>SUM(AA67:AA77)</f>
        <v>0</v>
      </c>
      <c r="AK66" s="68">
        <f>SUM(AB67:AB77)</f>
        <v>0</v>
      </c>
    </row>
    <row r="67" spans="1:48" ht="12.75">
      <c r="A67" s="10" t="s">
        <v>37</v>
      </c>
      <c r="B67" s="10"/>
      <c r="C67" s="10" t="s">
        <v>95</v>
      </c>
      <c r="D67" s="10" t="s">
        <v>167</v>
      </c>
      <c r="E67" s="10" t="s">
        <v>201</v>
      </c>
      <c r="F67" s="37">
        <v>1021577</v>
      </c>
      <c r="G67" s="37">
        <v>0</v>
      </c>
      <c r="H67" s="37">
        <f>F67*AE67</f>
        <v>0</v>
      </c>
      <c r="I67" s="37">
        <f>J67-H67</f>
        <v>0</v>
      </c>
      <c r="J67" s="37">
        <f>F67*G67</f>
        <v>0</v>
      </c>
      <c r="K67" s="37">
        <v>0</v>
      </c>
      <c r="L67" s="37">
        <f>F67*K67</f>
        <v>0</v>
      </c>
      <c r="M67" s="60"/>
      <c r="P67" s="65">
        <f>IF(AG67="5",J67,0)</f>
        <v>0</v>
      </c>
      <c r="R67" s="65">
        <f>IF(AG67="1",H67,0)</f>
        <v>0</v>
      </c>
      <c r="S67" s="65">
        <f>IF(AG67="1",I67,0)</f>
        <v>0</v>
      </c>
      <c r="T67" s="65">
        <f>IF(AG67="7",H67,0)</f>
        <v>0</v>
      </c>
      <c r="U67" s="65">
        <f>IF(AG67="7",I67,0)</f>
        <v>0</v>
      </c>
      <c r="V67" s="65">
        <f>IF(AG67="2",H67,0)</f>
        <v>0</v>
      </c>
      <c r="W67" s="65">
        <f>IF(AG67="2",I67,0)</f>
        <v>0</v>
      </c>
      <c r="X67" s="65">
        <f>IF(AG67="0",J67,0)</f>
        <v>0</v>
      </c>
      <c r="Y67" s="54"/>
      <c r="Z67" s="37">
        <f>IF(AD67=0,J67,0)</f>
        <v>0</v>
      </c>
      <c r="AA67" s="37">
        <f>IF(AD67=15,J67,0)</f>
        <v>0</v>
      </c>
      <c r="AB67" s="37">
        <f>IF(AD67=21,J67,0)</f>
        <v>0</v>
      </c>
      <c r="AD67" s="65">
        <v>15</v>
      </c>
      <c r="AE67" s="65">
        <f>G67*1</f>
        <v>0</v>
      </c>
      <c r="AF67" s="65">
        <f>G67*(1-1)</f>
        <v>0</v>
      </c>
      <c r="AG67" s="60" t="s">
        <v>13</v>
      </c>
      <c r="AM67" s="65">
        <f>F67*AE67</f>
        <v>0</v>
      </c>
      <c r="AN67" s="65">
        <f>F67*AF67</f>
        <v>0</v>
      </c>
      <c r="AO67" s="66" t="s">
        <v>237</v>
      </c>
      <c r="AP67" s="66" t="s">
        <v>242</v>
      </c>
      <c r="AQ67" s="54" t="s">
        <v>244</v>
      </c>
      <c r="AS67" s="65">
        <f>AM67+AN67</f>
        <v>0</v>
      </c>
      <c r="AT67" s="65">
        <f>G67/(100-AU67)*100</f>
        <v>0</v>
      </c>
      <c r="AU67" s="65">
        <v>0</v>
      </c>
      <c r="AV67" s="65">
        <f>L67</f>
        <v>0</v>
      </c>
    </row>
    <row r="68" spans="3:13" ht="25.5" customHeight="1">
      <c r="C68" s="25" t="s">
        <v>52</v>
      </c>
      <c r="D68" s="29" t="s">
        <v>168</v>
      </c>
      <c r="E68" s="34"/>
      <c r="F68" s="34"/>
      <c r="G68" s="34"/>
      <c r="H68" s="34"/>
      <c r="I68" s="34"/>
      <c r="J68" s="34"/>
      <c r="K68" s="34"/>
      <c r="L68" s="34"/>
      <c r="M68" s="34"/>
    </row>
    <row r="69" spans="1:48" ht="12.75">
      <c r="A69" s="10" t="s">
        <v>38</v>
      </c>
      <c r="B69" s="10"/>
      <c r="C69" s="10" t="s">
        <v>96</v>
      </c>
      <c r="D69" s="10" t="s">
        <v>169</v>
      </c>
      <c r="E69" s="10" t="s">
        <v>197</v>
      </c>
      <c r="F69" s="37">
        <v>208.08</v>
      </c>
      <c r="G69" s="37">
        <v>0</v>
      </c>
      <c r="H69" s="37">
        <f>F69*AE69</f>
        <v>0</v>
      </c>
      <c r="I69" s="37">
        <f>J69-H69</f>
        <v>0</v>
      </c>
      <c r="J69" s="37">
        <f>F69*G69</f>
        <v>0</v>
      </c>
      <c r="K69" s="37">
        <v>0.00016</v>
      </c>
      <c r="L69" s="37">
        <f>F69*K69</f>
        <v>0.033292800000000004</v>
      </c>
      <c r="M69" s="60" t="s">
        <v>218</v>
      </c>
      <c r="P69" s="65">
        <f>IF(AG69="5",J69,0)</f>
        <v>0</v>
      </c>
      <c r="R69" s="65">
        <f>IF(AG69="1",H69,0)</f>
        <v>0</v>
      </c>
      <c r="S69" s="65">
        <f>IF(AG69="1",I69,0)</f>
        <v>0</v>
      </c>
      <c r="T69" s="65">
        <f>IF(AG69="7",H69,0)</f>
        <v>0</v>
      </c>
      <c r="U69" s="65">
        <f>IF(AG69="7",I69,0)</f>
        <v>0</v>
      </c>
      <c r="V69" s="65">
        <f>IF(AG69="2",H69,0)</f>
        <v>0</v>
      </c>
      <c r="W69" s="65">
        <f>IF(AG69="2",I69,0)</f>
        <v>0</v>
      </c>
      <c r="X69" s="65">
        <f>IF(AG69="0",J69,0)</f>
        <v>0</v>
      </c>
      <c r="Y69" s="54"/>
      <c r="Z69" s="37">
        <f>IF(AD69=0,J69,0)</f>
        <v>0</v>
      </c>
      <c r="AA69" s="37">
        <f>IF(AD69=15,J69,0)</f>
        <v>0</v>
      </c>
      <c r="AB69" s="37">
        <f>IF(AD69=21,J69,0)</f>
        <v>0</v>
      </c>
      <c r="AD69" s="65">
        <v>15</v>
      </c>
      <c r="AE69" s="65">
        <f>G69*0.292188295165394</f>
        <v>0</v>
      </c>
      <c r="AF69" s="65">
        <f>G69*(1-0.292188295165394)</f>
        <v>0</v>
      </c>
      <c r="AG69" s="60" t="s">
        <v>13</v>
      </c>
      <c r="AM69" s="65">
        <f>F69*AE69</f>
        <v>0</v>
      </c>
      <c r="AN69" s="65">
        <f>F69*AF69</f>
        <v>0</v>
      </c>
      <c r="AO69" s="66" t="s">
        <v>237</v>
      </c>
      <c r="AP69" s="66" t="s">
        <v>242</v>
      </c>
      <c r="AQ69" s="54" t="s">
        <v>244</v>
      </c>
      <c r="AS69" s="65">
        <f>AM69+AN69</f>
        <v>0</v>
      </c>
      <c r="AT69" s="65">
        <f>G69/(100-AU69)*100</f>
        <v>0</v>
      </c>
      <c r="AU69" s="65">
        <v>0</v>
      </c>
      <c r="AV69" s="65">
        <f>L69</f>
        <v>0.033292800000000004</v>
      </c>
    </row>
    <row r="70" spans="1:48" ht="12.75">
      <c r="A70" s="10" t="s">
        <v>39</v>
      </c>
      <c r="B70" s="10"/>
      <c r="C70" s="10" t="s">
        <v>97</v>
      </c>
      <c r="D70" s="10" t="s">
        <v>170</v>
      </c>
      <c r="E70" s="10" t="s">
        <v>200</v>
      </c>
      <c r="F70" s="37">
        <v>0</v>
      </c>
      <c r="G70" s="37">
        <v>0</v>
      </c>
      <c r="H70" s="37">
        <f>F70*AE70</f>
        <v>0</v>
      </c>
      <c r="I70" s="37">
        <f>J70-H70</f>
        <v>0</v>
      </c>
      <c r="J70" s="37">
        <f>F70*G70</f>
        <v>0</v>
      </c>
      <c r="K70" s="37">
        <v>0.005</v>
      </c>
      <c r="L70" s="37">
        <f>F70*K70</f>
        <v>0</v>
      </c>
      <c r="M70" s="60"/>
      <c r="P70" s="65">
        <f>IF(AG70="5",J70,0)</f>
        <v>0</v>
      </c>
      <c r="R70" s="65">
        <f>IF(AG70="1",H70,0)</f>
        <v>0</v>
      </c>
      <c r="S70" s="65">
        <f>IF(AG70="1",I70,0)</f>
        <v>0</v>
      </c>
      <c r="T70" s="65">
        <f>IF(AG70="7",H70,0)</f>
        <v>0</v>
      </c>
      <c r="U70" s="65">
        <f>IF(AG70="7",I70,0)</f>
        <v>0</v>
      </c>
      <c r="V70" s="65">
        <f>IF(AG70="2",H70,0)</f>
        <v>0</v>
      </c>
      <c r="W70" s="65">
        <f>IF(AG70="2",I70,0)</f>
        <v>0</v>
      </c>
      <c r="X70" s="65">
        <f>IF(AG70="0",J70,0)</f>
        <v>0</v>
      </c>
      <c r="Y70" s="54"/>
      <c r="Z70" s="37">
        <f>IF(AD70=0,J70,0)</f>
        <v>0</v>
      </c>
      <c r="AA70" s="37">
        <f>IF(AD70=15,J70,0)</f>
        <v>0</v>
      </c>
      <c r="AB70" s="37">
        <f>IF(AD70=21,J70,0)</f>
        <v>0</v>
      </c>
      <c r="AD70" s="65">
        <v>15</v>
      </c>
      <c r="AE70" s="65">
        <f>G70*0</f>
        <v>0</v>
      </c>
      <c r="AF70" s="65">
        <f>G70*(1-0)</f>
        <v>0</v>
      </c>
      <c r="AG70" s="60" t="s">
        <v>13</v>
      </c>
      <c r="AM70" s="65">
        <f>F70*AE70</f>
        <v>0</v>
      </c>
      <c r="AN70" s="65">
        <f>F70*AF70</f>
        <v>0</v>
      </c>
      <c r="AO70" s="66" t="s">
        <v>237</v>
      </c>
      <c r="AP70" s="66" t="s">
        <v>242</v>
      </c>
      <c r="AQ70" s="54" t="s">
        <v>244</v>
      </c>
      <c r="AS70" s="65">
        <f>AM70+AN70</f>
        <v>0</v>
      </c>
      <c r="AT70" s="65">
        <f>G70/(100-AU70)*100</f>
        <v>0</v>
      </c>
      <c r="AU70" s="65">
        <v>0</v>
      </c>
      <c r="AV70" s="65">
        <f>L70</f>
        <v>0</v>
      </c>
    </row>
    <row r="71" spans="1:48" ht="12.75">
      <c r="A71" s="10" t="s">
        <v>40</v>
      </c>
      <c r="B71" s="10"/>
      <c r="C71" s="10" t="s">
        <v>98</v>
      </c>
      <c r="D71" s="10" t="s">
        <v>171</v>
      </c>
      <c r="E71" s="10" t="s">
        <v>200</v>
      </c>
      <c r="F71" s="37">
        <v>6</v>
      </c>
      <c r="G71" s="37">
        <v>0</v>
      </c>
      <c r="H71" s="37">
        <f>F71*AE71</f>
        <v>0</v>
      </c>
      <c r="I71" s="37">
        <f>J71-H71</f>
        <v>0</v>
      </c>
      <c r="J71" s="37">
        <f>F71*G71</f>
        <v>0</v>
      </c>
      <c r="K71" s="37">
        <v>0.004</v>
      </c>
      <c r="L71" s="37">
        <f>F71*K71</f>
        <v>0.024</v>
      </c>
      <c r="M71" s="60"/>
      <c r="P71" s="65">
        <f>IF(AG71="5",J71,0)</f>
        <v>0</v>
      </c>
      <c r="R71" s="65">
        <f>IF(AG71="1",H71,0)</f>
        <v>0</v>
      </c>
      <c r="S71" s="65">
        <f>IF(AG71="1",I71,0)</f>
        <v>0</v>
      </c>
      <c r="T71" s="65">
        <f>IF(AG71="7",H71,0)</f>
        <v>0</v>
      </c>
      <c r="U71" s="65">
        <f>IF(AG71="7",I71,0)</f>
        <v>0</v>
      </c>
      <c r="V71" s="65">
        <f>IF(AG71="2",H71,0)</f>
        <v>0</v>
      </c>
      <c r="W71" s="65">
        <f>IF(AG71="2",I71,0)</f>
        <v>0</v>
      </c>
      <c r="X71" s="65">
        <f>IF(AG71="0",J71,0)</f>
        <v>0</v>
      </c>
      <c r="Y71" s="54"/>
      <c r="Z71" s="37">
        <f>IF(AD71=0,J71,0)</f>
        <v>0</v>
      </c>
      <c r="AA71" s="37">
        <f>IF(AD71=15,J71,0)</f>
        <v>0</v>
      </c>
      <c r="AB71" s="37">
        <f>IF(AD71=21,J71,0)</f>
        <v>0</v>
      </c>
      <c r="AD71" s="65">
        <v>15</v>
      </c>
      <c r="AE71" s="65">
        <f>G71*1</f>
        <v>0</v>
      </c>
      <c r="AF71" s="65">
        <f>G71*(1-1)</f>
        <v>0</v>
      </c>
      <c r="AG71" s="60" t="s">
        <v>13</v>
      </c>
      <c r="AM71" s="65">
        <f>F71*AE71</f>
        <v>0</v>
      </c>
      <c r="AN71" s="65">
        <f>F71*AF71</f>
        <v>0</v>
      </c>
      <c r="AO71" s="66" t="s">
        <v>237</v>
      </c>
      <c r="AP71" s="66" t="s">
        <v>242</v>
      </c>
      <c r="AQ71" s="54" t="s">
        <v>244</v>
      </c>
      <c r="AS71" s="65">
        <f>AM71+AN71</f>
        <v>0</v>
      </c>
      <c r="AT71" s="65">
        <f>G71/(100-AU71)*100</f>
        <v>0</v>
      </c>
      <c r="AU71" s="65">
        <v>0</v>
      </c>
      <c r="AV71" s="65">
        <f>L71</f>
        <v>0.024</v>
      </c>
    </row>
    <row r="72" spans="1:48" ht="12.75">
      <c r="A72" s="10" t="s">
        <v>41</v>
      </c>
      <c r="B72" s="10"/>
      <c r="C72" s="10" t="s">
        <v>99</v>
      </c>
      <c r="D72" s="10" t="s">
        <v>172</v>
      </c>
      <c r="E72" s="10" t="s">
        <v>200</v>
      </c>
      <c r="F72" s="37">
        <v>4</v>
      </c>
      <c r="G72" s="37">
        <v>0</v>
      </c>
      <c r="H72" s="37">
        <f>F72*AE72</f>
        <v>0</v>
      </c>
      <c r="I72" s="37">
        <f>J72-H72</f>
        <v>0</v>
      </c>
      <c r="J72" s="37">
        <f>F72*G72</f>
        <v>0</v>
      </c>
      <c r="K72" s="37">
        <v>0.004</v>
      </c>
      <c r="L72" s="37">
        <f>F72*K72</f>
        <v>0.016</v>
      </c>
      <c r="M72" s="60"/>
      <c r="P72" s="65">
        <f>IF(AG72="5",J72,0)</f>
        <v>0</v>
      </c>
      <c r="R72" s="65">
        <f>IF(AG72="1",H72,0)</f>
        <v>0</v>
      </c>
      <c r="S72" s="65">
        <f>IF(AG72="1",I72,0)</f>
        <v>0</v>
      </c>
      <c r="T72" s="65">
        <f>IF(AG72="7",H72,0)</f>
        <v>0</v>
      </c>
      <c r="U72" s="65">
        <f>IF(AG72="7",I72,0)</f>
        <v>0</v>
      </c>
      <c r="V72" s="65">
        <f>IF(AG72="2",H72,0)</f>
        <v>0</v>
      </c>
      <c r="W72" s="65">
        <f>IF(AG72="2",I72,0)</f>
        <v>0</v>
      </c>
      <c r="X72" s="65">
        <f>IF(AG72="0",J72,0)</f>
        <v>0</v>
      </c>
      <c r="Y72" s="54"/>
      <c r="Z72" s="37">
        <f>IF(AD72=0,J72,0)</f>
        <v>0</v>
      </c>
      <c r="AA72" s="37">
        <f>IF(AD72=15,J72,0)</f>
        <v>0</v>
      </c>
      <c r="AB72" s="37">
        <f>IF(AD72=21,J72,0)</f>
        <v>0</v>
      </c>
      <c r="AD72" s="65">
        <v>15</v>
      </c>
      <c r="AE72" s="65">
        <f>G72*1</f>
        <v>0</v>
      </c>
      <c r="AF72" s="65">
        <f>G72*(1-1)</f>
        <v>0</v>
      </c>
      <c r="AG72" s="60" t="s">
        <v>13</v>
      </c>
      <c r="AM72" s="65">
        <f>F72*AE72</f>
        <v>0</v>
      </c>
      <c r="AN72" s="65">
        <f>F72*AF72</f>
        <v>0</v>
      </c>
      <c r="AO72" s="66" t="s">
        <v>237</v>
      </c>
      <c r="AP72" s="66" t="s">
        <v>242</v>
      </c>
      <c r="AQ72" s="54" t="s">
        <v>244</v>
      </c>
      <c r="AS72" s="65">
        <f>AM72+AN72</f>
        <v>0</v>
      </c>
      <c r="AT72" s="65">
        <f>G72/(100-AU72)*100</f>
        <v>0</v>
      </c>
      <c r="AU72" s="65">
        <v>0</v>
      </c>
      <c r="AV72" s="65">
        <f>L72</f>
        <v>0.016</v>
      </c>
    </row>
    <row r="73" spans="1:48" ht="12.75">
      <c r="A73" s="10" t="s">
        <v>42</v>
      </c>
      <c r="B73" s="10"/>
      <c r="C73" s="10" t="s">
        <v>100</v>
      </c>
      <c r="D73" s="10" t="s">
        <v>173</v>
      </c>
      <c r="E73" s="10" t="s">
        <v>200</v>
      </c>
      <c r="F73" s="37">
        <v>4</v>
      </c>
      <c r="G73" s="37">
        <v>0</v>
      </c>
      <c r="H73" s="37">
        <f>F73*AE73</f>
        <v>0</v>
      </c>
      <c r="I73" s="37">
        <f>J73-H73</f>
        <v>0</v>
      </c>
      <c r="J73" s="37">
        <f>F73*G73</f>
        <v>0</v>
      </c>
      <c r="K73" s="37">
        <v>0.004</v>
      </c>
      <c r="L73" s="37">
        <f>F73*K73</f>
        <v>0.016</v>
      </c>
      <c r="M73" s="60"/>
      <c r="P73" s="65">
        <f>IF(AG73="5",J73,0)</f>
        <v>0</v>
      </c>
      <c r="R73" s="65">
        <f>IF(AG73="1",H73,0)</f>
        <v>0</v>
      </c>
      <c r="S73" s="65">
        <f>IF(AG73="1",I73,0)</f>
        <v>0</v>
      </c>
      <c r="T73" s="65">
        <f>IF(AG73="7",H73,0)</f>
        <v>0</v>
      </c>
      <c r="U73" s="65">
        <f>IF(AG73="7",I73,0)</f>
        <v>0</v>
      </c>
      <c r="V73" s="65">
        <f>IF(AG73="2",H73,0)</f>
        <v>0</v>
      </c>
      <c r="W73" s="65">
        <f>IF(AG73="2",I73,0)</f>
        <v>0</v>
      </c>
      <c r="X73" s="65">
        <f>IF(AG73="0",J73,0)</f>
        <v>0</v>
      </c>
      <c r="Y73" s="54"/>
      <c r="Z73" s="37">
        <f>IF(AD73=0,J73,0)</f>
        <v>0</v>
      </c>
      <c r="AA73" s="37">
        <f>IF(AD73=15,J73,0)</f>
        <v>0</v>
      </c>
      <c r="AB73" s="37">
        <f>IF(AD73=21,J73,0)</f>
        <v>0</v>
      </c>
      <c r="AD73" s="65">
        <v>15</v>
      </c>
      <c r="AE73" s="65">
        <f>G73*1</f>
        <v>0</v>
      </c>
      <c r="AF73" s="65">
        <f>G73*(1-1)</f>
        <v>0</v>
      </c>
      <c r="AG73" s="60" t="s">
        <v>13</v>
      </c>
      <c r="AM73" s="65">
        <f>F73*AE73</f>
        <v>0</v>
      </c>
      <c r="AN73" s="65">
        <f>F73*AF73</f>
        <v>0</v>
      </c>
      <c r="AO73" s="66" t="s">
        <v>237</v>
      </c>
      <c r="AP73" s="66" t="s">
        <v>242</v>
      </c>
      <c r="AQ73" s="54" t="s">
        <v>244</v>
      </c>
      <c r="AS73" s="65">
        <f>AM73+AN73</f>
        <v>0</v>
      </c>
      <c r="AT73" s="65">
        <f>G73/(100-AU73)*100</f>
        <v>0</v>
      </c>
      <c r="AU73" s="65">
        <v>0</v>
      </c>
      <c r="AV73" s="65">
        <f>L73</f>
        <v>0.016</v>
      </c>
    </row>
    <row r="74" spans="1:48" ht="12.75">
      <c r="A74" s="10" t="s">
        <v>43</v>
      </c>
      <c r="B74" s="10"/>
      <c r="C74" s="10" t="s">
        <v>101</v>
      </c>
      <c r="D74" s="10" t="s">
        <v>174</v>
      </c>
      <c r="E74" s="10" t="s">
        <v>200</v>
      </c>
      <c r="F74" s="37">
        <v>2</v>
      </c>
      <c r="G74" s="37">
        <v>0</v>
      </c>
      <c r="H74" s="37">
        <f>F74*AE74</f>
        <v>0</v>
      </c>
      <c r="I74" s="37">
        <f>J74-H74</f>
        <v>0</v>
      </c>
      <c r="J74" s="37">
        <f>F74*G74</f>
        <v>0</v>
      </c>
      <c r="K74" s="37">
        <v>0.004</v>
      </c>
      <c r="L74" s="37">
        <f>F74*K74</f>
        <v>0.008</v>
      </c>
      <c r="M74" s="60"/>
      <c r="P74" s="65">
        <f>IF(AG74="5",J74,0)</f>
        <v>0</v>
      </c>
      <c r="R74" s="65">
        <f>IF(AG74="1",H74,0)</f>
        <v>0</v>
      </c>
      <c r="S74" s="65">
        <f>IF(AG74="1",I74,0)</f>
        <v>0</v>
      </c>
      <c r="T74" s="65">
        <f>IF(AG74="7",H74,0)</f>
        <v>0</v>
      </c>
      <c r="U74" s="65">
        <f>IF(AG74="7",I74,0)</f>
        <v>0</v>
      </c>
      <c r="V74" s="65">
        <f>IF(AG74="2",H74,0)</f>
        <v>0</v>
      </c>
      <c r="W74" s="65">
        <f>IF(AG74="2",I74,0)</f>
        <v>0</v>
      </c>
      <c r="X74" s="65">
        <f>IF(AG74="0",J74,0)</f>
        <v>0</v>
      </c>
      <c r="Y74" s="54"/>
      <c r="Z74" s="37">
        <f>IF(AD74=0,J74,0)</f>
        <v>0</v>
      </c>
      <c r="AA74" s="37">
        <f>IF(AD74=15,J74,0)</f>
        <v>0</v>
      </c>
      <c r="AB74" s="37">
        <f>IF(AD74=21,J74,0)</f>
        <v>0</v>
      </c>
      <c r="AD74" s="65">
        <v>15</v>
      </c>
      <c r="AE74" s="65">
        <f>G74*1</f>
        <v>0</v>
      </c>
      <c r="AF74" s="65">
        <f>G74*(1-1)</f>
        <v>0</v>
      </c>
      <c r="AG74" s="60" t="s">
        <v>13</v>
      </c>
      <c r="AM74" s="65">
        <f>F74*AE74</f>
        <v>0</v>
      </c>
      <c r="AN74" s="65">
        <f>F74*AF74</f>
        <v>0</v>
      </c>
      <c r="AO74" s="66" t="s">
        <v>237</v>
      </c>
      <c r="AP74" s="66" t="s">
        <v>242</v>
      </c>
      <c r="AQ74" s="54" t="s">
        <v>244</v>
      </c>
      <c r="AS74" s="65">
        <f>AM74+AN74</f>
        <v>0</v>
      </c>
      <c r="AT74" s="65">
        <f>G74/(100-AU74)*100</f>
        <v>0</v>
      </c>
      <c r="AU74" s="65">
        <v>0</v>
      </c>
      <c r="AV74" s="65">
        <f>L74</f>
        <v>0.008</v>
      </c>
    </row>
    <row r="75" spans="3:13" ht="12.75">
      <c r="C75" s="25" t="s">
        <v>52</v>
      </c>
      <c r="D75" s="29" t="s">
        <v>175</v>
      </c>
      <c r="E75" s="34"/>
      <c r="F75" s="34"/>
      <c r="G75" s="34"/>
      <c r="H75" s="34"/>
      <c r="I75" s="34"/>
      <c r="J75" s="34"/>
      <c r="K75" s="34"/>
      <c r="L75" s="34"/>
      <c r="M75" s="34"/>
    </row>
    <row r="76" spans="1:48" ht="12.75">
      <c r="A76" s="10" t="s">
        <v>44</v>
      </c>
      <c r="B76" s="10"/>
      <c r="C76" s="10" t="s">
        <v>102</v>
      </c>
      <c r="D76" s="10" t="s">
        <v>176</v>
      </c>
      <c r="E76" s="10" t="s">
        <v>197</v>
      </c>
      <c r="F76" s="37">
        <v>781.31</v>
      </c>
      <c r="G76" s="37">
        <v>0</v>
      </c>
      <c r="H76" s="37">
        <f>F76*AE76</f>
        <v>0</v>
      </c>
      <c r="I76" s="37">
        <f>J76-H76</f>
        <v>0</v>
      </c>
      <c r="J76" s="37">
        <f>F76*G76</f>
        <v>0</v>
      </c>
      <c r="K76" s="37">
        <v>4E-05</v>
      </c>
      <c r="L76" s="37">
        <f>F76*K76</f>
        <v>0.0312524</v>
      </c>
      <c r="M76" s="60" t="s">
        <v>218</v>
      </c>
      <c r="P76" s="65">
        <f>IF(AG76="5",J76,0)</f>
        <v>0</v>
      </c>
      <c r="R76" s="65">
        <f>IF(AG76="1",H76,0)</f>
        <v>0</v>
      </c>
      <c r="S76" s="65">
        <f>IF(AG76="1",I76,0)</f>
        <v>0</v>
      </c>
      <c r="T76" s="65">
        <f>IF(AG76="7",H76,0)</f>
        <v>0</v>
      </c>
      <c r="U76" s="65">
        <f>IF(AG76="7",I76,0)</f>
        <v>0</v>
      </c>
      <c r="V76" s="65">
        <f>IF(AG76="2",H76,0)</f>
        <v>0</v>
      </c>
      <c r="W76" s="65">
        <f>IF(AG76="2",I76,0)</f>
        <v>0</v>
      </c>
      <c r="X76" s="65">
        <f>IF(AG76="0",J76,0)</f>
        <v>0</v>
      </c>
      <c r="Y76" s="54"/>
      <c r="Z76" s="37">
        <f>IF(AD76=0,J76,0)</f>
        <v>0</v>
      </c>
      <c r="AA76" s="37">
        <f>IF(AD76=15,J76,0)</f>
        <v>0</v>
      </c>
      <c r="AB76" s="37">
        <f>IF(AD76=21,J76,0)</f>
        <v>0</v>
      </c>
      <c r="AD76" s="65">
        <v>15</v>
      </c>
      <c r="AE76" s="65">
        <f>G76*0.459659120890718</f>
        <v>0</v>
      </c>
      <c r="AF76" s="65">
        <f>G76*(1-0.459659120890718)</f>
        <v>0</v>
      </c>
      <c r="AG76" s="60" t="s">
        <v>13</v>
      </c>
      <c r="AM76" s="65">
        <f>F76*AE76</f>
        <v>0</v>
      </c>
      <c r="AN76" s="65">
        <f>F76*AF76</f>
        <v>0</v>
      </c>
      <c r="AO76" s="66" t="s">
        <v>237</v>
      </c>
      <c r="AP76" s="66" t="s">
        <v>242</v>
      </c>
      <c r="AQ76" s="54" t="s">
        <v>244</v>
      </c>
      <c r="AS76" s="65">
        <f>AM76+AN76</f>
        <v>0</v>
      </c>
      <c r="AT76" s="65">
        <f>G76/(100-AU76)*100</f>
        <v>0</v>
      </c>
      <c r="AU76" s="65">
        <v>0</v>
      </c>
      <c r="AV76" s="65">
        <f>L76</f>
        <v>0.0312524</v>
      </c>
    </row>
    <row r="77" spans="1:48" ht="12.75">
      <c r="A77" s="10" t="s">
        <v>45</v>
      </c>
      <c r="B77" s="10"/>
      <c r="C77" s="10" t="s">
        <v>93</v>
      </c>
      <c r="D77" s="10" t="s">
        <v>165</v>
      </c>
      <c r="E77" s="10" t="s">
        <v>199</v>
      </c>
      <c r="F77" s="37">
        <v>13.64255</v>
      </c>
      <c r="G77" s="37">
        <v>0</v>
      </c>
      <c r="H77" s="37">
        <f>F77*AE77</f>
        <v>0</v>
      </c>
      <c r="I77" s="37">
        <f>J77-H77</f>
        <v>0</v>
      </c>
      <c r="J77" s="37">
        <f>F77*G77</f>
        <v>0</v>
      </c>
      <c r="K77" s="37">
        <v>0</v>
      </c>
      <c r="L77" s="37">
        <f>F77*K77</f>
        <v>0</v>
      </c>
      <c r="M77" s="60" t="s">
        <v>218</v>
      </c>
      <c r="P77" s="65">
        <f>IF(AG77="5",J77,0)</f>
        <v>0</v>
      </c>
      <c r="R77" s="65">
        <f>IF(AG77="1",H77,0)</f>
        <v>0</v>
      </c>
      <c r="S77" s="65">
        <f>IF(AG77="1",I77,0)</f>
        <v>0</v>
      </c>
      <c r="T77" s="65">
        <f>IF(AG77="7",H77,0)</f>
        <v>0</v>
      </c>
      <c r="U77" s="65">
        <f>IF(AG77="7",I77,0)</f>
        <v>0</v>
      </c>
      <c r="V77" s="65">
        <f>IF(AG77="2",H77,0)</f>
        <v>0</v>
      </c>
      <c r="W77" s="65">
        <f>IF(AG77="2",I77,0)</f>
        <v>0</v>
      </c>
      <c r="X77" s="65">
        <f>IF(AG77="0",J77,0)</f>
        <v>0</v>
      </c>
      <c r="Y77" s="54"/>
      <c r="Z77" s="37">
        <f>IF(AD77=0,J77,0)</f>
        <v>0</v>
      </c>
      <c r="AA77" s="37">
        <f>IF(AD77=15,J77,0)</f>
        <v>0</v>
      </c>
      <c r="AB77" s="37">
        <f>IF(AD77=21,J77,0)</f>
        <v>0</v>
      </c>
      <c r="AD77" s="65">
        <v>15</v>
      </c>
      <c r="AE77" s="65">
        <f>G77*0</f>
        <v>0</v>
      </c>
      <c r="AF77" s="65">
        <f>G77*(1-0)</f>
        <v>0</v>
      </c>
      <c r="AG77" s="60" t="s">
        <v>11</v>
      </c>
      <c r="AM77" s="65">
        <f>F77*AE77</f>
        <v>0</v>
      </c>
      <c r="AN77" s="65">
        <f>F77*AF77</f>
        <v>0</v>
      </c>
      <c r="AO77" s="66" t="s">
        <v>237</v>
      </c>
      <c r="AP77" s="66" t="s">
        <v>242</v>
      </c>
      <c r="AQ77" s="54" t="s">
        <v>244</v>
      </c>
      <c r="AS77" s="65">
        <f>AM77+AN77</f>
        <v>0</v>
      </c>
      <c r="AT77" s="65">
        <f>G77/(100-AU77)*100</f>
        <v>0</v>
      </c>
      <c r="AU77" s="65">
        <v>0</v>
      </c>
      <c r="AV77" s="65">
        <f>L77</f>
        <v>0</v>
      </c>
    </row>
    <row r="78" spans="1:37" ht="12.75">
      <c r="A78" s="11"/>
      <c r="B78" s="24"/>
      <c r="C78" s="24" t="s">
        <v>103</v>
      </c>
      <c r="D78" s="24" t="s">
        <v>177</v>
      </c>
      <c r="E78" s="35"/>
      <c r="F78" s="35"/>
      <c r="G78" s="35"/>
      <c r="H78" s="68">
        <f>SUM(H79:H85)</f>
        <v>0</v>
      </c>
      <c r="I78" s="68">
        <f>SUM(I79:I85)</f>
        <v>0</v>
      </c>
      <c r="J78" s="68">
        <f>H78+I78</f>
        <v>0</v>
      </c>
      <c r="K78" s="54"/>
      <c r="L78" s="68">
        <f>SUM(L79:L85)</f>
        <v>0.020807100000000002</v>
      </c>
      <c r="M78" s="54"/>
      <c r="Y78" s="54"/>
      <c r="AI78" s="68">
        <f>SUM(Z79:Z85)</f>
        <v>0</v>
      </c>
      <c r="AJ78" s="68">
        <f>SUM(AA79:AA85)</f>
        <v>0</v>
      </c>
      <c r="AK78" s="68">
        <f>SUM(AB79:AB85)</f>
        <v>0</v>
      </c>
    </row>
    <row r="79" spans="1:48" ht="12.75">
      <c r="A79" s="10" t="s">
        <v>46</v>
      </c>
      <c r="B79" s="10"/>
      <c r="C79" s="10" t="s">
        <v>104</v>
      </c>
      <c r="D79" s="10" t="s">
        <v>178</v>
      </c>
      <c r="E79" s="10" t="s">
        <v>197</v>
      </c>
      <c r="F79" s="37">
        <v>5.34</v>
      </c>
      <c r="G79" s="37">
        <v>0</v>
      </c>
      <c r="H79" s="37">
        <f>F79*AE79</f>
        <v>0</v>
      </c>
      <c r="I79" s="37">
        <f>J79-H79</f>
        <v>0</v>
      </c>
      <c r="J79" s="37">
        <f>F79*G79</f>
        <v>0</v>
      </c>
      <c r="K79" s="37">
        <v>0</v>
      </c>
      <c r="L79" s="37">
        <f>F79*K79</f>
        <v>0</v>
      </c>
      <c r="M79" s="60" t="s">
        <v>218</v>
      </c>
      <c r="P79" s="65">
        <f>IF(AG79="5",J79,0)</f>
        <v>0</v>
      </c>
      <c r="R79" s="65">
        <f>IF(AG79="1",H79,0)</f>
        <v>0</v>
      </c>
      <c r="S79" s="65">
        <f>IF(AG79="1",I79,0)</f>
        <v>0</v>
      </c>
      <c r="T79" s="65">
        <f>IF(AG79="7",H79,0)</f>
        <v>0</v>
      </c>
      <c r="U79" s="65">
        <f>IF(AG79="7",I79,0)</f>
        <v>0</v>
      </c>
      <c r="V79" s="65">
        <f>IF(AG79="2",H79,0)</f>
        <v>0</v>
      </c>
      <c r="W79" s="65">
        <f>IF(AG79="2",I79,0)</f>
        <v>0</v>
      </c>
      <c r="X79" s="65">
        <f>IF(AG79="0",J79,0)</f>
        <v>0</v>
      </c>
      <c r="Y79" s="54"/>
      <c r="Z79" s="37">
        <f>IF(AD79=0,J79,0)</f>
        <v>0</v>
      </c>
      <c r="AA79" s="37">
        <f>IF(AD79=15,J79,0)</f>
        <v>0</v>
      </c>
      <c r="AB79" s="37">
        <f>IF(AD79=21,J79,0)</f>
        <v>0</v>
      </c>
      <c r="AD79" s="65">
        <v>15</v>
      </c>
      <c r="AE79" s="65">
        <f>G79*0</f>
        <v>0</v>
      </c>
      <c r="AF79" s="65">
        <f>G79*(1-0)</f>
        <v>0</v>
      </c>
      <c r="AG79" s="60" t="s">
        <v>13</v>
      </c>
      <c r="AM79" s="65">
        <f>F79*AE79</f>
        <v>0</v>
      </c>
      <c r="AN79" s="65">
        <f>F79*AF79</f>
        <v>0</v>
      </c>
      <c r="AO79" s="66" t="s">
        <v>238</v>
      </c>
      <c r="AP79" s="66" t="s">
        <v>243</v>
      </c>
      <c r="AQ79" s="54" t="s">
        <v>244</v>
      </c>
      <c r="AS79" s="65">
        <f>AM79+AN79</f>
        <v>0</v>
      </c>
      <c r="AT79" s="65">
        <f>G79/(100-AU79)*100</f>
        <v>0</v>
      </c>
      <c r="AU79" s="65">
        <v>0</v>
      </c>
      <c r="AV79" s="65">
        <f>L79</f>
        <v>0</v>
      </c>
    </row>
    <row r="80" spans="4:6" ht="12.75">
      <c r="D80" s="30" t="s">
        <v>179</v>
      </c>
      <c r="F80" s="38">
        <v>5.34</v>
      </c>
    </row>
    <row r="81" spans="1:48" ht="12.75">
      <c r="A81" s="10" t="s">
        <v>47</v>
      </c>
      <c r="B81" s="10"/>
      <c r="C81" s="10" t="s">
        <v>105</v>
      </c>
      <c r="D81" s="10" t="s">
        <v>180</v>
      </c>
      <c r="E81" s="10" t="s">
        <v>197</v>
      </c>
      <c r="F81" s="37">
        <v>12.75</v>
      </c>
      <c r="G81" s="37">
        <v>0</v>
      </c>
      <c r="H81" s="37">
        <f>F81*AE81</f>
        <v>0</v>
      </c>
      <c r="I81" s="37">
        <f>J81-H81</f>
        <v>0</v>
      </c>
      <c r="J81" s="37">
        <f>F81*G81</f>
        <v>0</v>
      </c>
      <c r="K81" s="37">
        <v>0</v>
      </c>
      <c r="L81" s="37">
        <f>F81*K81</f>
        <v>0</v>
      </c>
      <c r="M81" s="60" t="s">
        <v>218</v>
      </c>
      <c r="P81" s="65">
        <f>IF(AG81="5",J81,0)</f>
        <v>0</v>
      </c>
      <c r="R81" s="65">
        <f>IF(AG81="1",H81,0)</f>
        <v>0</v>
      </c>
      <c r="S81" s="65">
        <f>IF(AG81="1",I81,0)</f>
        <v>0</v>
      </c>
      <c r="T81" s="65">
        <f>IF(AG81="7",H81,0)</f>
        <v>0</v>
      </c>
      <c r="U81" s="65">
        <f>IF(AG81="7",I81,0)</f>
        <v>0</v>
      </c>
      <c r="V81" s="65">
        <f>IF(AG81="2",H81,0)</f>
        <v>0</v>
      </c>
      <c r="W81" s="65">
        <f>IF(AG81="2",I81,0)</f>
        <v>0</v>
      </c>
      <c r="X81" s="65">
        <f>IF(AG81="0",J81,0)</f>
        <v>0</v>
      </c>
      <c r="Y81" s="54"/>
      <c r="Z81" s="37">
        <f>IF(AD81=0,J81,0)</f>
        <v>0</v>
      </c>
      <c r="AA81" s="37">
        <f>IF(AD81=15,J81,0)</f>
        <v>0</v>
      </c>
      <c r="AB81" s="37">
        <f>IF(AD81=21,J81,0)</f>
        <v>0</v>
      </c>
      <c r="AD81" s="65">
        <v>15</v>
      </c>
      <c r="AE81" s="65">
        <f>G81*0</f>
        <v>0</v>
      </c>
      <c r="AF81" s="65">
        <f>G81*(1-0)</f>
        <v>0</v>
      </c>
      <c r="AG81" s="60" t="s">
        <v>13</v>
      </c>
      <c r="AM81" s="65">
        <f>F81*AE81</f>
        <v>0</v>
      </c>
      <c r="AN81" s="65">
        <f>F81*AF81</f>
        <v>0</v>
      </c>
      <c r="AO81" s="66" t="s">
        <v>238</v>
      </c>
      <c r="AP81" s="66" t="s">
        <v>243</v>
      </c>
      <c r="AQ81" s="54" t="s">
        <v>244</v>
      </c>
      <c r="AS81" s="65">
        <f>AM81+AN81</f>
        <v>0</v>
      </c>
      <c r="AT81" s="65">
        <f>G81/(100-AU81)*100</f>
        <v>0</v>
      </c>
      <c r="AU81" s="65">
        <v>0</v>
      </c>
      <c r="AV81" s="65">
        <f>L81</f>
        <v>0</v>
      </c>
    </row>
    <row r="82" spans="4:6" ht="12.75">
      <c r="D82" s="30" t="s">
        <v>181</v>
      </c>
      <c r="F82" s="38">
        <v>12.75</v>
      </c>
    </row>
    <row r="83" spans="1:48" ht="12.75">
      <c r="A83" s="12" t="s">
        <v>48</v>
      </c>
      <c r="B83" s="12"/>
      <c r="C83" s="12" t="s">
        <v>106</v>
      </c>
      <c r="D83" s="12" t="s">
        <v>182</v>
      </c>
      <c r="E83" s="12" t="s">
        <v>198</v>
      </c>
      <c r="F83" s="39">
        <v>1.7055</v>
      </c>
      <c r="G83" s="39">
        <v>0</v>
      </c>
      <c r="H83" s="39">
        <f>F83*AE83</f>
        <v>0</v>
      </c>
      <c r="I83" s="39">
        <f>J83-H83</f>
        <v>0</v>
      </c>
      <c r="J83" s="39">
        <f>F83*G83</f>
        <v>0</v>
      </c>
      <c r="K83" s="39">
        <v>0.0122</v>
      </c>
      <c r="L83" s="39">
        <f>F83*K83</f>
        <v>0.020807100000000002</v>
      </c>
      <c r="M83" s="61" t="s">
        <v>218</v>
      </c>
      <c r="P83" s="65">
        <f>IF(AG83="5",J83,0)</f>
        <v>0</v>
      </c>
      <c r="R83" s="65">
        <f>IF(AG83="1",H83,0)</f>
        <v>0</v>
      </c>
      <c r="S83" s="65">
        <f>IF(AG83="1",I83,0)</f>
        <v>0</v>
      </c>
      <c r="T83" s="65">
        <f>IF(AG83="7",H83,0)</f>
        <v>0</v>
      </c>
      <c r="U83" s="65">
        <f>IF(AG83="7",I83,0)</f>
        <v>0</v>
      </c>
      <c r="V83" s="65">
        <f>IF(AG83="2",H83,0)</f>
        <v>0</v>
      </c>
      <c r="W83" s="65">
        <f>IF(AG83="2",I83,0)</f>
        <v>0</v>
      </c>
      <c r="X83" s="65">
        <f>IF(AG83="0",J83,0)</f>
        <v>0</v>
      </c>
      <c r="Y83" s="54"/>
      <c r="Z83" s="39">
        <f>IF(AD83=0,J83,0)</f>
        <v>0</v>
      </c>
      <c r="AA83" s="39">
        <f>IF(AD83=15,J83,0)</f>
        <v>0</v>
      </c>
      <c r="AB83" s="39">
        <f>IF(AD83=21,J83,0)</f>
        <v>0</v>
      </c>
      <c r="AD83" s="65">
        <v>15</v>
      </c>
      <c r="AE83" s="65">
        <f>G83*1</f>
        <v>0</v>
      </c>
      <c r="AF83" s="65">
        <f>G83*(1-1)</f>
        <v>0</v>
      </c>
      <c r="AG83" s="61" t="s">
        <v>13</v>
      </c>
      <c r="AM83" s="65">
        <f>F83*AE83</f>
        <v>0</v>
      </c>
      <c r="AN83" s="65">
        <f>F83*AF83</f>
        <v>0</v>
      </c>
      <c r="AO83" s="66" t="s">
        <v>238</v>
      </c>
      <c r="AP83" s="66" t="s">
        <v>243</v>
      </c>
      <c r="AQ83" s="54" t="s">
        <v>244</v>
      </c>
      <c r="AS83" s="65">
        <f>AM83+AN83</f>
        <v>0</v>
      </c>
      <c r="AT83" s="65">
        <f>G83/(100-AU83)*100</f>
        <v>0</v>
      </c>
      <c r="AU83" s="65">
        <v>0</v>
      </c>
      <c r="AV83" s="65">
        <f>L83</f>
        <v>0.020807100000000002</v>
      </c>
    </row>
    <row r="84" spans="4:6" ht="12.75">
      <c r="D84" s="30" t="s">
        <v>183</v>
      </c>
      <c r="F84" s="38">
        <v>1.7055</v>
      </c>
    </row>
    <row r="85" spans="1:48" ht="12.75">
      <c r="A85" s="10" t="s">
        <v>49</v>
      </c>
      <c r="B85" s="10"/>
      <c r="C85" s="10" t="s">
        <v>107</v>
      </c>
      <c r="D85" s="10" t="s">
        <v>184</v>
      </c>
      <c r="E85" s="10" t="s">
        <v>199</v>
      </c>
      <c r="F85" s="37">
        <v>0.02081</v>
      </c>
      <c r="G85" s="37">
        <v>0</v>
      </c>
      <c r="H85" s="37">
        <f>F85*AE85</f>
        <v>0</v>
      </c>
      <c r="I85" s="37">
        <f>J85-H85</f>
        <v>0</v>
      </c>
      <c r="J85" s="37">
        <f>F85*G85</f>
        <v>0</v>
      </c>
      <c r="K85" s="37">
        <v>0</v>
      </c>
      <c r="L85" s="37">
        <f>F85*K85</f>
        <v>0</v>
      </c>
      <c r="M85" s="60" t="s">
        <v>218</v>
      </c>
      <c r="P85" s="65">
        <f>IF(AG85="5",J85,0)</f>
        <v>0</v>
      </c>
      <c r="R85" s="65">
        <f>IF(AG85="1",H85,0)</f>
        <v>0</v>
      </c>
      <c r="S85" s="65">
        <f>IF(AG85="1",I85,0)</f>
        <v>0</v>
      </c>
      <c r="T85" s="65">
        <f>IF(AG85="7",H85,0)</f>
        <v>0</v>
      </c>
      <c r="U85" s="65">
        <f>IF(AG85="7",I85,0)</f>
        <v>0</v>
      </c>
      <c r="V85" s="65">
        <f>IF(AG85="2",H85,0)</f>
        <v>0</v>
      </c>
      <c r="W85" s="65">
        <f>IF(AG85="2",I85,0)</f>
        <v>0</v>
      </c>
      <c r="X85" s="65">
        <f>IF(AG85="0",J85,0)</f>
        <v>0</v>
      </c>
      <c r="Y85" s="54"/>
      <c r="Z85" s="37">
        <f>IF(AD85=0,J85,0)</f>
        <v>0</v>
      </c>
      <c r="AA85" s="37">
        <f>IF(AD85=15,J85,0)</f>
        <v>0</v>
      </c>
      <c r="AB85" s="37">
        <f>IF(AD85=21,J85,0)</f>
        <v>0</v>
      </c>
      <c r="AD85" s="65">
        <v>15</v>
      </c>
      <c r="AE85" s="65">
        <f>G85*0</f>
        <v>0</v>
      </c>
      <c r="AF85" s="65">
        <f>G85*(1-0)</f>
        <v>0</v>
      </c>
      <c r="AG85" s="60" t="s">
        <v>11</v>
      </c>
      <c r="AM85" s="65">
        <f>F85*AE85</f>
        <v>0</v>
      </c>
      <c r="AN85" s="65">
        <f>F85*AF85</f>
        <v>0</v>
      </c>
      <c r="AO85" s="66" t="s">
        <v>238</v>
      </c>
      <c r="AP85" s="66" t="s">
        <v>243</v>
      </c>
      <c r="AQ85" s="54" t="s">
        <v>244</v>
      </c>
      <c r="AS85" s="65">
        <f>AM85+AN85</f>
        <v>0</v>
      </c>
      <c r="AT85" s="65">
        <f>G85/(100-AU85)*100</f>
        <v>0</v>
      </c>
      <c r="AU85" s="65">
        <v>0</v>
      </c>
      <c r="AV85" s="65">
        <f>L85</f>
        <v>0</v>
      </c>
    </row>
    <row r="86" spans="1:37" ht="12.75">
      <c r="A86" s="11"/>
      <c r="B86" s="24"/>
      <c r="C86" s="24" t="s">
        <v>108</v>
      </c>
      <c r="D86" s="24" t="s">
        <v>185</v>
      </c>
      <c r="E86" s="35"/>
      <c r="F86" s="35"/>
      <c r="G86" s="35"/>
      <c r="H86" s="68">
        <f>SUM(H87:H94)</f>
        <v>0</v>
      </c>
      <c r="I86" s="68">
        <f>SUM(I87:I94)</f>
        <v>0</v>
      </c>
      <c r="J86" s="68">
        <f>H86+I86</f>
        <v>0</v>
      </c>
      <c r="K86" s="54"/>
      <c r="L86" s="68">
        <f>SUM(L87:L94)</f>
        <v>0.5076039999999999</v>
      </c>
      <c r="M86" s="54"/>
      <c r="Y86" s="54"/>
      <c r="AI86" s="68">
        <f>SUM(Z87:Z94)</f>
        <v>0</v>
      </c>
      <c r="AJ86" s="68">
        <f>SUM(AA87:AA94)</f>
        <v>0</v>
      </c>
      <c r="AK86" s="68">
        <f>SUM(AB87:AB94)</f>
        <v>0</v>
      </c>
    </row>
    <row r="87" spans="1:48" ht="12.75">
      <c r="A87" s="10" t="s">
        <v>50</v>
      </c>
      <c r="B87" s="10"/>
      <c r="C87" s="10" t="s">
        <v>109</v>
      </c>
      <c r="D87" s="10" t="s">
        <v>186</v>
      </c>
      <c r="E87" s="10" t="s">
        <v>198</v>
      </c>
      <c r="F87" s="37">
        <v>1335.8</v>
      </c>
      <c r="G87" s="37">
        <v>0</v>
      </c>
      <c r="H87" s="37">
        <f>F87*AE87</f>
        <v>0</v>
      </c>
      <c r="I87" s="37">
        <f>J87-H87</f>
        <v>0</v>
      </c>
      <c r="J87" s="37">
        <f>F87*G87</f>
        <v>0</v>
      </c>
      <c r="K87" s="37">
        <v>0.00017</v>
      </c>
      <c r="L87" s="37">
        <f>F87*K87</f>
        <v>0.227086</v>
      </c>
      <c r="M87" s="60" t="s">
        <v>218</v>
      </c>
      <c r="P87" s="65">
        <f>IF(AG87="5",J87,0)</f>
        <v>0</v>
      </c>
      <c r="R87" s="65">
        <f>IF(AG87="1",H87,0)</f>
        <v>0</v>
      </c>
      <c r="S87" s="65">
        <f>IF(AG87="1",I87,0)</f>
        <v>0</v>
      </c>
      <c r="T87" s="65">
        <f>IF(AG87="7",H87,0)</f>
        <v>0</v>
      </c>
      <c r="U87" s="65">
        <f>IF(AG87="7",I87,0)</f>
        <v>0</v>
      </c>
      <c r="V87" s="65">
        <f>IF(AG87="2",H87,0)</f>
        <v>0</v>
      </c>
      <c r="W87" s="65">
        <f>IF(AG87="2",I87,0)</f>
        <v>0</v>
      </c>
      <c r="X87" s="65">
        <f>IF(AG87="0",J87,0)</f>
        <v>0</v>
      </c>
      <c r="Y87" s="54"/>
      <c r="Z87" s="37">
        <f>IF(AD87=0,J87,0)</f>
        <v>0</v>
      </c>
      <c r="AA87" s="37">
        <f>IF(AD87=15,J87,0)</f>
        <v>0</v>
      </c>
      <c r="AB87" s="37">
        <f>IF(AD87=21,J87,0)</f>
        <v>0</v>
      </c>
      <c r="AD87" s="65">
        <v>15</v>
      </c>
      <c r="AE87" s="65">
        <f>G87*0.291194968553459</f>
        <v>0</v>
      </c>
      <c r="AF87" s="65">
        <f>G87*(1-0.291194968553459)</f>
        <v>0</v>
      </c>
      <c r="AG87" s="60" t="s">
        <v>13</v>
      </c>
      <c r="AM87" s="65">
        <f>F87*AE87</f>
        <v>0</v>
      </c>
      <c r="AN87" s="65">
        <f>F87*AF87</f>
        <v>0</v>
      </c>
      <c r="AO87" s="66" t="s">
        <v>239</v>
      </c>
      <c r="AP87" s="66" t="s">
        <v>243</v>
      </c>
      <c r="AQ87" s="54" t="s">
        <v>244</v>
      </c>
      <c r="AS87" s="65">
        <f>AM87+AN87</f>
        <v>0</v>
      </c>
      <c r="AT87" s="65">
        <f>G87/(100-AU87)*100</f>
        <v>0</v>
      </c>
      <c r="AU87" s="65">
        <v>0</v>
      </c>
      <c r="AV87" s="65">
        <f>L87</f>
        <v>0.227086</v>
      </c>
    </row>
    <row r="88" spans="4:6" ht="12.75">
      <c r="D88" s="30" t="s">
        <v>187</v>
      </c>
      <c r="F88" s="38">
        <v>269.6</v>
      </c>
    </row>
    <row r="89" spans="4:6" ht="12.75">
      <c r="D89" s="30" t="s">
        <v>188</v>
      </c>
      <c r="F89" s="38">
        <v>153</v>
      </c>
    </row>
    <row r="90" spans="4:6" ht="12.75">
      <c r="D90" s="30" t="s">
        <v>189</v>
      </c>
      <c r="F90" s="38">
        <v>271.2</v>
      </c>
    </row>
    <row r="91" spans="4:6" ht="12.75">
      <c r="D91" s="30" t="s">
        <v>190</v>
      </c>
      <c r="F91" s="38">
        <v>185.4</v>
      </c>
    </row>
    <row r="92" spans="4:6" ht="12.75">
      <c r="D92" s="30" t="s">
        <v>189</v>
      </c>
      <c r="F92" s="38">
        <v>271.2</v>
      </c>
    </row>
    <row r="93" spans="4:6" ht="12.75">
      <c r="D93" s="30" t="s">
        <v>190</v>
      </c>
      <c r="F93" s="38">
        <v>185.4</v>
      </c>
    </row>
    <row r="94" spans="1:48" ht="12.75">
      <c r="A94" s="13" t="s">
        <v>51</v>
      </c>
      <c r="B94" s="13"/>
      <c r="C94" s="13" t="s">
        <v>110</v>
      </c>
      <c r="D94" s="13" t="s">
        <v>191</v>
      </c>
      <c r="E94" s="13" t="s">
        <v>198</v>
      </c>
      <c r="F94" s="40">
        <v>1335.8</v>
      </c>
      <c r="G94" s="40">
        <v>0</v>
      </c>
      <c r="H94" s="40">
        <f>F94*AE94</f>
        <v>0</v>
      </c>
      <c r="I94" s="40">
        <f>J94-H94</f>
        <v>0</v>
      </c>
      <c r="J94" s="40">
        <f>F94*G94</f>
        <v>0</v>
      </c>
      <c r="K94" s="40">
        <v>0.00021</v>
      </c>
      <c r="L94" s="40">
        <f>F94*K94</f>
        <v>0.280518</v>
      </c>
      <c r="M94" s="62" t="s">
        <v>218</v>
      </c>
      <c r="P94" s="65">
        <f>IF(AG94="5",J94,0)</f>
        <v>0</v>
      </c>
      <c r="R94" s="65">
        <f>IF(AG94="1",H94,0)</f>
        <v>0</v>
      </c>
      <c r="S94" s="65">
        <f>IF(AG94="1",I94,0)</f>
        <v>0</v>
      </c>
      <c r="T94" s="65">
        <f>IF(AG94="7",H94,0)</f>
        <v>0</v>
      </c>
      <c r="U94" s="65">
        <f>IF(AG94="7",I94,0)</f>
        <v>0</v>
      </c>
      <c r="V94" s="65">
        <f>IF(AG94="2",H94,0)</f>
        <v>0</v>
      </c>
      <c r="W94" s="65">
        <f>IF(AG94="2",I94,0)</f>
        <v>0</v>
      </c>
      <c r="X94" s="65">
        <f>IF(AG94="0",J94,0)</f>
        <v>0</v>
      </c>
      <c r="Y94" s="54"/>
      <c r="Z94" s="37">
        <f>IF(AD94=0,J94,0)</f>
        <v>0</v>
      </c>
      <c r="AA94" s="37">
        <f>IF(AD94=15,J94,0)</f>
        <v>0</v>
      </c>
      <c r="AB94" s="37">
        <f>IF(AD94=21,J94,0)</f>
        <v>0</v>
      </c>
      <c r="AD94" s="65">
        <v>15</v>
      </c>
      <c r="AE94" s="65">
        <f>G94*0.0861403959886861</f>
        <v>0</v>
      </c>
      <c r="AF94" s="65">
        <f>G94*(1-0.0861403959886861)</f>
        <v>0</v>
      </c>
      <c r="AG94" s="60" t="s">
        <v>13</v>
      </c>
      <c r="AM94" s="65">
        <f>F94*AE94</f>
        <v>0</v>
      </c>
      <c r="AN94" s="65">
        <f>F94*AF94</f>
        <v>0</v>
      </c>
      <c r="AO94" s="66" t="s">
        <v>239</v>
      </c>
      <c r="AP94" s="66" t="s">
        <v>243</v>
      </c>
      <c r="AQ94" s="54" t="s">
        <v>244</v>
      </c>
      <c r="AS94" s="65">
        <f>AM94+AN94</f>
        <v>0</v>
      </c>
      <c r="AT94" s="65">
        <f>G94/(100-AU94)*100</f>
        <v>0</v>
      </c>
      <c r="AU94" s="65">
        <v>0</v>
      </c>
      <c r="AV94" s="65">
        <f>L94</f>
        <v>0.280518</v>
      </c>
    </row>
    <row r="95" spans="1:13" ht="12.75">
      <c r="A95" s="14"/>
      <c r="B95" s="14"/>
      <c r="C95" s="14"/>
      <c r="D95" s="14"/>
      <c r="E95" s="14"/>
      <c r="F95" s="14"/>
      <c r="G95" s="14"/>
      <c r="H95" s="46" t="s">
        <v>207</v>
      </c>
      <c r="I95" s="50"/>
      <c r="J95" s="69">
        <f>J12+J17+J21+J30+J35+J39+J46+J49+J62+J66+J78+J86</f>
        <v>0</v>
      </c>
      <c r="K95" s="14"/>
      <c r="L95" s="14"/>
      <c r="M95" s="14"/>
    </row>
    <row r="96" ht="11.25" customHeight="1">
      <c r="A96" s="15" t="s">
        <v>52</v>
      </c>
    </row>
    <row r="97" spans="1:13" ht="0" customHeight="1" hidden="1">
      <c r="A97" s="16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</sheetData>
  <mergeCells count="51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4:M14"/>
    <mergeCell ref="D17:G17"/>
    <mergeCell ref="D20:M20"/>
    <mergeCell ref="D21:G21"/>
    <mergeCell ref="D23:M23"/>
    <mergeCell ref="D25:M25"/>
    <mergeCell ref="D27:M27"/>
    <mergeCell ref="D29:M29"/>
    <mergeCell ref="D30:G30"/>
    <mergeCell ref="D34:M34"/>
    <mergeCell ref="D35:G35"/>
    <mergeCell ref="D39:G39"/>
    <mergeCell ref="D46:G46"/>
    <mergeCell ref="D49:G49"/>
    <mergeCell ref="D62:G62"/>
    <mergeCell ref="D64:M64"/>
    <mergeCell ref="D66:G66"/>
    <mergeCell ref="D68:M68"/>
    <mergeCell ref="D75:M75"/>
    <mergeCell ref="D78:G78"/>
    <mergeCell ref="D86:G86"/>
    <mergeCell ref="H95:I95"/>
    <mergeCell ref="A97:M97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 topLeftCell="A1">
      <selection activeCell="A1" sqref="A1:G1"/>
    </sheetView>
  </sheetViews>
  <sheetFormatPr defaultColWidth="11.57421875" defaultRowHeight="12.75"/>
  <cols>
    <col min="1" max="2" width="16.57421875" customWidth="1"/>
    <col min="3" max="3" width="41.7109375" customWidth="1"/>
    <col min="4" max="4" width="22.140625" customWidth="1"/>
    <col min="5" max="5" width="21.00390625" customWidth="1"/>
    <col min="6" max="6" width="20.8515625" customWidth="1"/>
    <col min="7" max="7" width="19.7109375" customWidth="1"/>
    <col min="8" max="9" width="0" hidden="1" customWidth="1"/>
  </cols>
  <sheetData>
    <row r="1" spans="1:7" ht="72.75" customHeight="1">
      <c r="A1" s="124" t="s">
        <v>245</v>
      </c>
      <c r="B1" s="17"/>
      <c r="C1" s="17"/>
      <c r="D1" s="17"/>
      <c r="E1" s="17"/>
      <c r="F1" s="17"/>
      <c r="G1" s="17"/>
    </row>
    <row r="2" spans="1:8" ht="12.75">
      <c r="A2" s="3" t="s">
        <v>1</v>
      </c>
      <c r="B2" s="26" t="s">
        <v>111</v>
      </c>
      <c r="C2" s="50"/>
      <c r="D2" s="47" t="s">
        <v>208</v>
      </c>
      <c r="E2" s="47"/>
      <c r="F2" s="18"/>
      <c r="G2" s="55"/>
      <c r="H2" s="63"/>
    </row>
    <row r="3" spans="1:8" ht="12.75">
      <c r="A3" s="4"/>
      <c r="B3" s="27"/>
      <c r="C3" s="27"/>
      <c r="D3" s="19"/>
      <c r="E3" s="19"/>
      <c r="F3" s="19"/>
      <c r="G3" s="56"/>
      <c r="H3" s="63"/>
    </row>
    <row r="4" spans="1:8" ht="12.75">
      <c r="A4" s="5" t="s">
        <v>2</v>
      </c>
      <c r="B4" s="16"/>
      <c r="C4" s="19"/>
      <c r="D4" s="16" t="s">
        <v>209</v>
      </c>
      <c r="E4" s="16"/>
      <c r="F4" s="19"/>
      <c r="G4" s="56"/>
      <c r="H4" s="63"/>
    </row>
    <row r="5" spans="1:8" ht="12.75">
      <c r="A5" s="4"/>
      <c r="B5" s="19"/>
      <c r="C5" s="19"/>
      <c r="D5" s="19"/>
      <c r="E5" s="19"/>
      <c r="F5" s="19"/>
      <c r="G5" s="56"/>
      <c r="H5" s="63"/>
    </row>
    <row r="6" spans="1:8" ht="12.75">
      <c r="A6" s="5" t="s">
        <v>3</v>
      </c>
      <c r="B6" s="16" t="s">
        <v>112</v>
      </c>
      <c r="C6" s="19"/>
      <c r="D6" s="16" t="s">
        <v>210</v>
      </c>
      <c r="E6" s="16"/>
      <c r="F6" s="19"/>
      <c r="G6" s="56"/>
      <c r="H6" s="63"/>
    </row>
    <row r="7" spans="1:8" ht="12.75">
      <c r="A7" s="4"/>
      <c r="B7" s="19"/>
      <c r="C7" s="19"/>
      <c r="D7" s="19"/>
      <c r="E7" s="19"/>
      <c r="F7" s="19"/>
      <c r="G7" s="56"/>
      <c r="H7" s="63"/>
    </row>
    <row r="8" spans="1:8" ht="12.75">
      <c r="A8" s="5" t="s">
        <v>211</v>
      </c>
      <c r="B8" s="16" t="s">
        <v>213</v>
      </c>
      <c r="C8" s="19"/>
      <c r="D8" s="32" t="s">
        <v>195</v>
      </c>
      <c r="E8" s="41">
        <v>42754</v>
      </c>
      <c r="F8" s="19"/>
      <c r="G8" s="56"/>
      <c r="H8" s="63"/>
    </row>
    <row r="9" spans="1:8" ht="12.75">
      <c r="A9" s="6"/>
      <c r="B9" s="20"/>
      <c r="C9" s="20"/>
      <c r="D9" s="20"/>
      <c r="E9" s="20"/>
      <c r="F9" s="20"/>
      <c r="G9" s="57"/>
      <c r="H9" s="63"/>
    </row>
    <row r="10" spans="1:8" ht="12.75">
      <c r="A10" s="70" t="s">
        <v>53</v>
      </c>
      <c r="B10" s="72" t="s">
        <v>54</v>
      </c>
      <c r="C10" s="73" t="s">
        <v>113</v>
      </c>
      <c r="D10" s="74" t="s">
        <v>246</v>
      </c>
      <c r="E10" s="74" t="s">
        <v>247</v>
      </c>
      <c r="F10" s="74" t="s">
        <v>248</v>
      </c>
      <c r="G10" s="76" t="s">
        <v>249</v>
      </c>
      <c r="H10" s="64"/>
    </row>
    <row r="11" spans="1:9" ht="12.75">
      <c r="A11" s="71"/>
      <c r="B11" s="71" t="s">
        <v>55</v>
      </c>
      <c r="C11" s="71" t="s">
        <v>115</v>
      </c>
      <c r="D11" s="77">
        <f>'Stavební rozpočet'!H12</f>
        <v>0</v>
      </c>
      <c r="E11" s="77">
        <f>'Stavební rozpočet'!I12</f>
        <v>0</v>
      </c>
      <c r="F11" s="77">
        <f>D11+E11</f>
        <v>0</v>
      </c>
      <c r="G11" s="77">
        <f>'Stavební rozpočet'!L12</f>
        <v>6.9065621</v>
      </c>
      <c r="H11" s="65" t="s">
        <v>250</v>
      </c>
      <c r="I11" s="65">
        <f>IF(H11="F",0,F11)</f>
        <v>0</v>
      </c>
    </row>
    <row r="12" spans="1:9" ht="12.75">
      <c r="A12" s="32"/>
      <c r="B12" s="32" t="s">
        <v>59</v>
      </c>
      <c r="C12" s="32" t="s">
        <v>120</v>
      </c>
      <c r="D12" s="65">
        <f>'Stavební rozpočet'!H17</f>
        <v>0</v>
      </c>
      <c r="E12" s="65">
        <f>'Stavební rozpočet'!I17</f>
        <v>0</v>
      </c>
      <c r="F12" s="65">
        <f>D12+E12</f>
        <v>0</v>
      </c>
      <c r="G12" s="65">
        <f>'Stavební rozpočet'!L17</f>
        <v>0.048173796000000005</v>
      </c>
      <c r="H12" s="65" t="s">
        <v>250</v>
      </c>
      <c r="I12" s="65">
        <f>IF(H12="F",0,F12)</f>
        <v>0</v>
      </c>
    </row>
    <row r="13" spans="1:9" ht="12.75">
      <c r="A13" s="32"/>
      <c r="B13" s="32" t="s">
        <v>61</v>
      </c>
      <c r="C13" s="32" t="s">
        <v>124</v>
      </c>
      <c r="D13" s="65">
        <f>'Stavební rozpočet'!H21</f>
        <v>0</v>
      </c>
      <c r="E13" s="65">
        <f>'Stavební rozpočet'!I21</f>
        <v>0</v>
      </c>
      <c r="F13" s="65">
        <f>D13+E13</f>
        <v>0</v>
      </c>
      <c r="G13" s="65">
        <f>'Stavební rozpočet'!L21</f>
        <v>0.9401891999999998</v>
      </c>
      <c r="H13" s="65" t="s">
        <v>250</v>
      </c>
      <c r="I13" s="65">
        <f>IF(H13="F",0,F13)</f>
        <v>0</v>
      </c>
    </row>
    <row r="14" spans="1:9" ht="12.75">
      <c r="A14" s="32"/>
      <c r="B14" s="32" t="s">
        <v>66</v>
      </c>
      <c r="C14" s="32" t="s">
        <v>130</v>
      </c>
      <c r="D14" s="65">
        <f>'Stavební rozpočet'!H30</f>
        <v>0</v>
      </c>
      <c r="E14" s="65">
        <f>'Stavební rozpočet'!I30</f>
        <v>0</v>
      </c>
      <c r="F14" s="65">
        <f>D14+E14</f>
        <v>0</v>
      </c>
      <c r="G14" s="65">
        <f>'Stavební rozpočet'!L30</f>
        <v>1.2041032</v>
      </c>
      <c r="H14" s="65" t="s">
        <v>250</v>
      </c>
      <c r="I14" s="65">
        <f>IF(H14="F",0,F14)</f>
        <v>0</v>
      </c>
    </row>
    <row r="15" spans="1:9" ht="12.75">
      <c r="A15" s="32"/>
      <c r="B15" s="32" t="s">
        <v>70</v>
      </c>
      <c r="C15" s="32" t="s">
        <v>135</v>
      </c>
      <c r="D15" s="65">
        <f>'Stavební rozpočet'!H35</f>
        <v>0</v>
      </c>
      <c r="E15" s="65">
        <f>'Stavební rozpočet'!I35</f>
        <v>0</v>
      </c>
      <c r="F15" s="65">
        <f>D15+E15</f>
        <v>0</v>
      </c>
      <c r="G15" s="65">
        <f>'Stavební rozpočet'!L35</f>
        <v>0.0718816</v>
      </c>
      <c r="H15" s="65" t="s">
        <v>250</v>
      </c>
      <c r="I15" s="65">
        <f>IF(H15="F",0,F15)</f>
        <v>0</v>
      </c>
    </row>
    <row r="16" spans="1:9" ht="12.75">
      <c r="A16" s="32"/>
      <c r="B16" s="32" t="s">
        <v>73</v>
      </c>
      <c r="C16" s="32" t="s">
        <v>139</v>
      </c>
      <c r="D16" s="65">
        <f>'Stavební rozpočet'!H39</f>
        <v>0</v>
      </c>
      <c r="E16" s="65">
        <f>'Stavební rozpočet'!I39</f>
        <v>0</v>
      </c>
      <c r="F16" s="65">
        <f>D16+E16</f>
        <v>0</v>
      </c>
      <c r="G16" s="65">
        <f>'Stavební rozpočet'!L39</f>
        <v>22.8886799</v>
      </c>
      <c r="H16" s="65" t="s">
        <v>250</v>
      </c>
      <c r="I16" s="65">
        <f>IF(H16="F",0,F16)</f>
        <v>0</v>
      </c>
    </row>
    <row r="17" spans="1:9" ht="12.75">
      <c r="A17" s="32"/>
      <c r="B17" s="32" t="s">
        <v>79</v>
      </c>
      <c r="C17" s="32" t="s">
        <v>146</v>
      </c>
      <c r="D17" s="65">
        <f>'Stavební rozpočet'!H46</f>
        <v>0</v>
      </c>
      <c r="E17" s="65">
        <f>'Stavební rozpočet'!I46</f>
        <v>0</v>
      </c>
      <c r="F17" s="65">
        <f>D17+E17</f>
        <v>0</v>
      </c>
      <c r="G17" s="65">
        <f>'Stavební rozpočet'!L46</f>
        <v>3.4911757999999997</v>
      </c>
      <c r="H17" s="65" t="s">
        <v>250</v>
      </c>
      <c r="I17" s="65">
        <f>IF(H17="F",0,F17)</f>
        <v>0</v>
      </c>
    </row>
    <row r="18" spans="1:9" ht="12.75">
      <c r="A18" s="32"/>
      <c r="B18" s="32" t="s">
        <v>82</v>
      </c>
      <c r="C18" s="32" t="s">
        <v>149</v>
      </c>
      <c r="D18" s="65">
        <f>'Stavební rozpočet'!H49</f>
        <v>0</v>
      </c>
      <c r="E18" s="65">
        <f>'Stavební rozpočet'!I49</f>
        <v>0</v>
      </c>
      <c r="F18" s="65">
        <f>D18+E18</f>
        <v>0</v>
      </c>
      <c r="G18" s="65">
        <f>'Stavební rozpočet'!L49</f>
        <v>0</v>
      </c>
      <c r="H18" s="65" t="s">
        <v>250</v>
      </c>
      <c r="I18" s="65">
        <f>IF(H18="F",0,F18)</f>
        <v>0</v>
      </c>
    </row>
    <row r="19" spans="1:9" ht="12.75">
      <c r="A19" s="32"/>
      <c r="B19" s="32" t="s">
        <v>91</v>
      </c>
      <c r="C19" s="32" t="s">
        <v>162</v>
      </c>
      <c r="D19" s="65">
        <f>'Stavební rozpočet'!H62</f>
        <v>0</v>
      </c>
      <c r="E19" s="65">
        <f>'Stavební rozpočet'!I62</f>
        <v>0</v>
      </c>
      <c r="F19" s="65">
        <f>D19+E19</f>
        <v>0</v>
      </c>
      <c r="G19" s="65">
        <f>'Stavební rozpočet'!L62</f>
        <v>0</v>
      </c>
      <c r="H19" s="65" t="s">
        <v>250</v>
      </c>
      <c r="I19" s="65">
        <f>IF(H19="F",0,F19)</f>
        <v>0</v>
      </c>
    </row>
    <row r="20" spans="1:9" ht="12.75">
      <c r="A20" s="32"/>
      <c r="B20" s="32" t="s">
        <v>94</v>
      </c>
      <c r="C20" s="32" t="s">
        <v>166</v>
      </c>
      <c r="D20" s="65">
        <f>'Stavební rozpočet'!H66</f>
        <v>0</v>
      </c>
      <c r="E20" s="65">
        <f>'Stavební rozpočet'!I66</f>
        <v>0</v>
      </c>
      <c r="F20" s="65">
        <f>D20+E20</f>
        <v>0</v>
      </c>
      <c r="G20" s="65">
        <f>'Stavební rozpočet'!L66</f>
        <v>0.12854520000000003</v>
      </c>
      <c r="H20" s="65" t="s">
        <v>250</v>
      </c>
      <c r="I20" s="65">
        <f>IF(H20="F",0,F20)</f>
        <v>0</v>
      </c>
    </row>
    <row r="21" spans="1:9" ht="12.75">
      <c r="A21" s="32"/>
      <c r="B21" s="32" t="s">
        <v>103</v>
      </c>
      <c r="C21" s="32" t="s">
        <v>177</v>
      </c>
      <c r="D21" s="65">
        <f>'Stavební rozpočet'!H78</f>
        <v>0</v>
      </c>
      <c r="E21" s="65">
        <f>'Stavební rozpočet'!I78</f>
        <v>0</v>
      </c>
      <c r="F21" s="65">
        <f>D21+E21</f>
        <v>0</v>
      </c>
      <c r="G21" s="65">
        <f>'Stavební rozpočet'!L78</f>
        <v>0.020807100000000002</v>
      </c>
      <c r="H21" s="65" t="s">
        <v>250</v>
      </c>
      <c r="I21" s="65">
        <f>IF(H21="F",0,F21)</f>
        <v>0</v>
      </c>
    </row>
    <row r="22" spans="1:9" ht="12.75">
      <c r="A22" s="32"/>
      <c r="B22" s="32" t="s">
        <v>108</v>
      </c>
      <c r="C22" s="32" t="s">
        <v>185</v>
      </c>
      <c r="D22" s="65">
        <f>'Stavební rozpočet'!H86</f>
        <v>0</v>
      </c>
      <c r="E22" s="65">
        <f>'Stavební rozpočet'!I86</f>
        <v>0</v>
      </c>
      <c r="F22" s="65">
        <f>D22+E22</f>
        <v>0</v>
      </c>
      <c r="G22" s="65">
        <f>'Stavební rozpočet'!L86</f>
        <v>0.5076039999999999</v>
      </c>
      <c r="H22" s="65" t="s">
        <v>250</v>
      </c>
      <c r="I22" s="65">
        <f>IF(H22="F",0,F22)</f>
        <v>0</v>
      </c>
    </row>
    <row r="24" spans="5:6" ht="12.75">
      <c r="E24" s="75" t="s">
        <v>207</v>
      </c>
      <c r="F24" s="78">
        <f>SUM(I11:I22)</f>
        <v>0</v>
      </c>
    </row>
  </sheetData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11.57421875" defaultRowHeight="12.75"/>
  <cols>
    <col min="1" max="1" width="9.140625" customWidth="1"/>
    <col min="2" max="2" width="12.8515625" customWidth="1"/>
    <col min="3" max="3" width="22.8515625" customWidth="1"/>
    <col min="4" max="4" width="10.00390625" customWidth="1"/>
    <col min="5" max="5" width="14.00390625" customWidth="1"/>
    <col min="6" max="6" width="22.8515625" customWidth="1"/>
    <col min="7" max="7" width="9.140625" customWidth="1"/>
    <col min="8" max="8" width="12.8515625" customWidth="1"/>
    <col min="9" max="9" width="22.8515625" customWidth="1"/>
  </cols>
  <sheetData>
    <row r="1" spans="1:9" ht="72.75" customHeight="1">
      <c r="A1" s="123"/>
      <c r="B1" s="79"/>
      <c r="C1" s="102" t="s">
        <v>266</v>
      </c>
      <c r="D1" s="108"/>
      <c r="E1" s="108"/>
      <c r="F1" s="108"/>
      <c r="G1" s="108"/>
      <c r="H1" s="108"/>
      <c r="I1" s="108"/>
    </row>
    <row r="2" spans="1:10" ht="12.75">
      <c r="A2" s="3" t="s">
        <v>1</v>
      </c>
      <c r="B2" s="18"/>
      <c r="C2" s="26" t="s">
        <v>111</v>
      </c>
      <c r="D2" s="50"/>
      <c r="E2" s="47" t="s">
        <v>208</v>
      </c>
      <c r="F2" s="47"/>
      <c r="G2" s="18"/>
      <c r="H2" s="47" t="s">
        <v>291</v>
      </c>
      <c r="I2" s="117"/>
      <c r="J2" s="63"/>
    </row>
    <row r="3" spans="1:10" ht="12.75">
      <c r="A3" s="4"/>
      <c r="B3" s="19"/>
      <c r="C3" s="27"/>
      <c r="D3" s="27"/>
      <c r="E3" s="19"/>
      <c r="F3" s="19"/>
      <c r="G3" s="19"/>
      <c r="H3" s="19"/>
      <c r="I3" s="56"/>
      <c r="J3" s="63"/>
    </row>
    <row r="4" spans="1:10" ht="12.75">
      <c r="A4" s="5" t="s">
        <v>2</v>
      </c>
      <c r="B4" s="19"/>
      <c r="C4" s="16"/>
      <c r="D4" s="19"/>
      <c r="E4" s="16" t="s">
        <v>209</v>
      </c>
      <c r="F4" s="16"/>
      <c r="G4" s="19"/>
      <c r="H4" s="16" t="s">
        <v>291</v>
      </c>
      <c r="I4" s="118"/>
      <c r="J4" s="63"/>
    </row>
    <row r="5" spans="1:10" ht="12.75">
      <c r="A5" s="4"/>
      <c r="B5" s="19"/>
      <c r="C5" s="19"/>
      <c r="D5" s="19"/>
      <c r="E5" s="19"/>
      <c r="F5" s="19"/>
      <c r="G5" s="19"/>
      <c r="H5" s="19"/>
      <c r="I5" s="56"/>
      <c r="J5" s="63"/>
    </row>
    <row r="6" spans="1:10" ht="12.75">
      <c r="A6" s="5" t="s">
        <v>3</v>
      </c>
      <c r="B6" s="19"/>
      <c r="C6" s="16" t="s">
        <v>112</v>
      </c>
      <c r="D6" s="19"/>
      <c r="E6" s="16" t="s">
        <v>210</v>
      </c>
      <c r="F6" s="16"/>
      <c r="G6" s="19"/>
      <c r="H6" s="16" t="s">
        <v>291</v>
      </c>
      <c r="I6" s="118"/>
      <c r="J6" s="63"/>
    </row>
    <row r="7" spans="1:10" ht="12.75">
      <c r="A7" s="4"/>
      <c r="B7" s="19"/>
      <c r="C7" s="19"/>
      <c r="D7" s="19"/>
      <c r="E7" s="19"/>
      <c r="F7" s="19"/>
      <c r="G7" s="19"/>
      <c r="H7" s="19"/>
      <c r="I7" s="56"/>
      <c r="J7" s="63"/>
    </row>
    <row r="8" spans="1:10" ht="12.75">
      <c r="A8" s="5" t="s">
        <v>193</v>
      </c>
      <c r="B8" s="19"/>
      <c r="C8" s="32" t="s">
        <v>6</v>
      </c>
      <c r="D8" s="19"/>
      <c r="E8" s="16" t="s">
        <v>194</v>
      </c>
      <c r="F8" s="19"/>
      <c r="G8" s="19"/>
      <c r="H8" s="32" t="s">
        <v>292</v>
      </c>
      <c r="I8" s="118" t="s">
        <v>51</v>
      </c>
      <c r="J8" s="63"/>
    </row>
    <row r="9" spans="1:10" ht="12.75">
      <c r="A9" s="4"/>
      <c r="B9" s="19"/>
      <c r="C9" s="19"/>
      <c r="D9" s="19"/>
      <c r="E9" s="19"/>
      <c r="F9" s="19"/>
      <c r="G9" s="19"/>
      <c r="H9" s="19"/>
      <c r="I9" s="56"/>
      <c r="J9" s="63"/>
    </row>
    <row r="10" spans="1:10" ht="12.75">
      <c r="A10" s="5" t="s">
        <v>4</v>
      </c>
      <c r="B10" s="19"/>
      <c r="C10" s="16"/>
      <c r="D10" s="19"/>
      <c r="E10" s="16" t="s">
        <v>211</v>
      </c>
      <c r="F10" s="16" t="s">
        <v>213</v>
      </c>
      <c r="G10" s="19"/>
      <c r="H10" s="32" t="s">
        <v>293</v>
      </c>
      <c r="I10" s="119">
        <v>42754</v>
      </c>
      <c r="J10" s="63"/>
    </row>
    <row r="11" spans="1:10" ht="12.75">
      <c r="A11" s="80"/>
      <c r="B11" s="92"/>
      <c r="C11" s="92"/>
      <c r="D11" s="92"/>
      <c r="E11" s="92"/>
      <c r="F11" s="92"/>
      <c r="G11" s="92"/>
      <c r="H11" s="92"/>
      <c r="I11" s="120"/>
      <c r="J11" s="63"/>
    </row>
    <row r="12" spans="1:9" ht="23.25" customHeight="1">
      <c r="A12" s="81" t="s">
        <v>251</v>
      </c>
      <c r="B12" s="93"/>
      <c r="C12" s="93"/>
      <c r="D12" s="93"/>
      <c r="E12" s="93"/>
      <c r="F12" s="93"/>
      <c r="G12" s="93"/>
      <c r="H12" s="93"/>
      <c r="I12" s="93"/>
    </row>
    <row r="13" spans="1:10" ht="26.25" customHeight="1">
      <c r="A13" s="82" t="s">
        <v>252</v>
      </c>
      <c r="B13" s="94" t="s">
        <v>264</v>
      </c>
      <c r="C13" s="103"/>
      <c r="D13" s="82" t="s">
        <v>267</v>
      </c>
      <c r="E13" s="94" t="s">
        <v>276</v>
      </c>
      <c r="F13" s="103"/>
      <c r="G13" s="82" t="s">
        <v>277</v>
      </c>
      <c r="H13" s="94" t="s">
        <v>294</v>
      </c>
      <c r="I13" s="103"/>
      <c r="J13" s="63"/>
    </row>
    <row r="14" spans="1:10" ht="15" customHeight="1">
      <c r="A14" s="83" t="s">
        <v>253</v>
      </c>
      <c r="B14" s="95" t="s">
        <v>265</v>
      </c>
      <c r="C14" s="112">
        <f>SUM('Stavební rozpočet'!R12:R94)</f>
        <v>0</v>
      </c>
      <c r="D14" s="109" t="s">
        <v>268</v>
      </c>
      <c r="E14" s="111"/>
      <c r="F14" s="112">
        <v>0</v>
      </c>
      <c r="G14" s="109" t="s">
        <v>278</v>
      </c>
      <c r="H14" s="111"/>
      <c r="I14" s="112">
        <v>0</v>
      </c>
      <c r="J14" s="63"/>
    </row>
    <row r="15" spans="1:10" ht="15" customHeight="1">
      <c r="A15" s="84"/>
      <c r="B15" s="95" t="s">
        <v>212</v>
      </c>
      <c r="C15" s="112">
        <f>SUM('Stavební rozpočet'!S12:S94)</f>
        <v>0</v>
      </c>
      <c r="D15" s="109" t="s">
        <v>269</v>
      </c>
      <c r="E15" s="111"/>
      <c r="F15" s="112">
        <v>0</v>
      </c>
      <c r="G15" s="109" t="s">
        <v>279</v>
      </c>
      <c r="H15" s="111"/>
      <c r="I15" s="112">
        <v>0</v>
      </c>
      <c r="J15" s="63"/>
    </row>
    <row r="16" spans="1:10" ht="15" customHeight="1">
      <c r="A16" s="83" t="s">
        <v>254</v>
      </c>
      <c r="B16" s="95" t="s">
        <v>265</v>
      </c>
      <c r="C16" s="112">
        <f>SUM('Stavební rozpočet'!T12:T94)</f>
        <v>0</v>
      </c>
      <c r="D16" s="109" t="s">
        <v>270</v>
      </c>
      <c r="E16" s="111"/>
      <c r="F16" s="112">
        <v>0</v>
      </c>
      <c r="G16" s="109" t="s">
        <v>280</v>
      </c>
      <c r="H16" s="111"/>
      <c r="I16" s="112">
        <v>0</v>
      </c>
      <c r="J16" s="63"/>
    </row>
    <row r="17" spans="1:10" ht="15" customHeight="1">
      <c r="A17" s="84"/>
      <c r="B17" s="95" t="s">
        <v>212</v>
      </c>
      <c r="C17" s="112">
        <f>SUM('Stavební rozpočet'!U12:U94)</f>
        <v>0</v>
      </c>
      <c r="D17" s="109"/>
      <c r="E17" s="111"/>
      <c r="F17" s="113"/>
      <c r="G17" s="109" t="s">
        <v>281</v>
      </c>
      <c r="H17" s="111"/>
      <c r="I17" s="112">
        <v>0</v>
      </c>
      <c r="J17" s="63"/>
    </row>
    <row r="18" spans="1:10" ht="15" customHeight="1">
      <c r="A18" s="83" t="s">
        <v>255</v>
      </c>
      <c r="B18" s="95" t="s">
        <v>265</v>
      </c>
      <c r="C18" s="112">
        <f>SUM('Stavební rozpočet'!V12:V94)</f>
        <v>0</v>
      </c>
      <c r="D18" s="109"/>
      <c r="E18" s="111"/>
      <c r="F18" s="113"/>
      <c r="G18" s="109" t="s">
        <v>282</v>
      </c>
      <c r="H18" s="111"/>
      <c r="I18" s="112">
        <v>0</v>
      </c>
      <c r="J18" s="63"/>
    </row>
    <row r="19" spans="1:10" ht="15" customHeight="1">
      <c r="A19" s="84"/>
      <c r="B19" s="95" t="s">
        <v>212</v>
      </c>
      <c r="C19" s="112">
        <f>SUM('Stavební rozpočet'!W12:W94)</f>
        <v>0</v>
      </c>
      <c r="D19" s="109"/>
      <c r="E19" s="111"/>
      <c r="F19" s="113"/>
      <c r="G19" s="109" t="s">
        <v>283</v>
      </c>
      <c r="H19" s="111"/>
      <c r="I19" s="112">
        <v>0</v>
      </c>
      <c r="J19" s="63"/>
    </row>
    <row r="20" spans="1:10" ht="15" customHeight="1">
      <c r="A20" s="85" t="s">
        <v>256</v>
      </c>
      <c r="B20" s="96"/>
      <c r="C20" s="112">
        <f>SUM('Stavební rozpočet'!X12:X94)</f>
        <v>0</v>
      </c>
      <c r="D20" s="109"/>
      <c r="E20" s="111"/>
      <c r="F20" s="113"/>
      <c r="G20" s="109"/>
      <c r="H20" s="111"/>
      <c r="I20" s="113"/>
      <c r="J20" s="63"/>
    </row>
    <row r="21" spans="1:10" ht="15" customHeight="1">
      <c r="A21" s="85" t="s">
        <v>257</v>
      </c>
      <c r="B21" s="96"/>
      <c r="C21" s="112">
        <f>SUM('Stavební rozpočet'!P12:P94)</f>
        <v>0</v>
      </c>
      <c r="D21" s="109"/>
      <c r="E21" s="111"/>
      <c r="F21" s="113"/>
      <c r="G21" s="109"/>
      <c r="H21" s="111"/>
      <c r="I21" s="113"/>
      <c r="J21" s="63"/>
    </row>
    <row r="22" spans="1:10" ht="16.5" customHeight="1">
      <c r="A22" s="85" t="s">
        <v>258</v>
      </c>
      <c r="B22" s="96"/>
      <c r="C22" s="112">
        <f>SUM(C14:C21)</f>
        <v>0</v>
      </c>
      <c r="D22" s="85" t="s">
        <v>271</v>
      </c>
      <c r="E22" s="96"/>
      <c r="F22" s="112">
        <f>SUM(F14:F21)</f>
        <v>0</v>
      </c>
      <c r="G22" s="85" t="s">
        <v>284</v>
      </c>
      <c r="H22" s="96"/>
      <c r="I22" s="112">
        <f>SUM(I14:I21)</f>
        <v>0</v>
      </c>
      <c r="J22" s="63"/>
    </row>
    <row r="23" spans="1:10" ht="15" customHeight="1">
      <c r="A23" s="14"/>
      <c r="B23" s="14"/>
      <c r="C23" s="104"/>
      <c r="D23" s="85" t="s">
        <v>272</v>
      </c>
      <c r="E23" s="96"/>
      <c r="F23" s="114">
        <v>0</v>
      </c>
      <c r="G23" s="85" t="s">
        <v>285</v>
      </c>
      <c r="H23" s="96"/>
      <c r="I23" s="112">
        <v>0</v>
      </c>
      <c r="J23" s="63"/>
    </row>
    <row r="24" spans="4:9" ht="15" customHeight="1">
      <c r="D24" s="14"/>
      <c r="E24" s="14"/>
      <c r="F24" s="115"/>
      <c r="G24" s="85" t="s">
        <v>286</v>
      </c>
      <c r="H24" s="96"/>
      <c r="I24" s="121"/>
    </row>
    <row r="25" spans="6:10" ht="15" customHeight="1">
      <c r="F25" s="116"/>
      <c r="G25" s="85" t="s">
        <v>287</v>
      </c>
      <c r="H25" s="96"/>
      <c r="I25" s="112">
        <v>0</v>
      </c>
      <c r="J25" s="63"/>
    </row>
    <row r="26" spans="1:9" ht="12.75">
      <c r="A26" s="79"/>
      <c r="B26" s="79"/>
      <c r="C26" s="79"/>
      <c r="G26" s="14"/>
      <c r="H26" s="14"/>
      <c r="I26" s="14"/>
    </row>
    <row r="27" spans="1:9" ht="15" customHeight="1">
      <c r="A27" s="86" t="s">
        <v>259</v>
      </c>
      <c r="B27" s="97"/>
      <c r="C27" s="122">
        <f>SUM('Stavební rozpočet'!Z12:Z94)</f>
        <v>0</v>
      </c>
      <c r="D27" s="110"/>
      <c r="E27" s="79"/>
      <c r="F27" s="79"/>
      <c r="G27" s="79"/>
      <c r="H27" s="79"/>
      <c r="I27" s="79"/>
    </row>
    <row r="28" spans="1:10" ht="15" customHeight="1">
      <c r="A28" s="86" t="s">
        <v>260</v>
      </c>
      <c r="B28" s="97"/>
      <c r="C28" s="122">
        <f>SUM('Stavební rozpočet'!AA12:AA94)+(F22+I22+F23+I23+I24+I25)</f>
        <v>0</v>
      </c>
      <c r="D28" s="86" t="s">
        <v>273</v>
      </c>
      <c r="E28" s="97"/>
      <c r="F28" s="122">
        <f>ROUND(C28*(15/100),2)</f>
        <v>0</v>
      </c>
      <c r="G28" s="86" t="s">
        <v>288</v>
      </c>
      <c r="H28" s="97"/>
      <c r="I28" s="122">
        <f>SUM(C27:C29)</f>
        <v>0</v>
      </c>
      <c r="J28" s="63"/>
    </row>
    <row r="29" spans="1:10" ht="15" customHeight="1">
      <c r="A29" s="86" t="s">
        <v>261</v>
      </c>
      <c r="B29" s="97"/>
      <c r="C29" s="122">
        <f>SUM('Stavební rozpočet'!AB12:AB94)</f>
        <v>0</v>
      </c>
      <c r="D29" s="86" t="s">
        <v>274</v>
      </c>
      <c r="E29" s="97"/>
      <c r="F29" s="122">
        <f>ROUND(C29*(21/100),2)</f>
        <v>0</v>
      </c>
      <c r="G29" s="86" t="s">
        <v>289</v>
      </c>
      <c r="H29" s="97"/>
      <c r="I29" s="122">
        <f>SUM(F28:F29)+I28</f>
        <v>0</v>
      </c>
      <c r="J29" s="63"/>
    </row>
    <row r="30" spans="1:9" ht="12.75">
      <c r="A30" s="87"/>
      <c r="B30" s="87"/>
      <c r="C30" s="87"/>
      <c r="D30" s="87"/>
      <c r="E30" s="87"/>
      <c r="F30" s="87"/>
      <c r="G30" s="87"/>
      <c r="H30" s="87"/>
      <c r="I30" s="87"/>
    </row>
    <row r="31" spans="1:10" ht="14.25" customHeight="1">
      <c r="A31" s="88" t="s">
        <v>262</v>
      </c>
      <c r="B31" s="98"/>
      <c r="C31" s="105"/>
      <c r="D31" s="88" t="s">
        <v>275</v>
      </c>
      <c r="E31" s="98"/>
      <c r="F31" s="105"/>
      <c r="G31" s="88" t="s">
        <v>290</v>
      </c>
      <c r="H31" s="98"/>
      <c r="I31" s="105"/>
      <c r="J31" s="64"/>
    </row>
    <row r="32" spans="1:10" ht="14.25" customHeight="1">
      <c r="A32" s="89"/>
      <c r="B32" s="99"/>
      <c r="C32" s="106"/>
      <c r="D32" s="89"/>
      <c r="E32" s="99"/>
      <c r="F32" s="106"/>
      <c r="G32" s="89"/>
      <c r="H32" s="99"/>
      <c r="I32" s="106"/>
      <c r="J32" s="64"/>
    </row>
    <row r="33" spans="1:10" ht="14.25" customHeight="1">
      <c r="A33" s="89"/>
      <c r="B33" s="99"/>
      <c r="C33" s="106"/>
      <c r="D33" s="89"/>
      <c r="E33" s="99"/>
      <c r="F33" s="106"/>
      <c r="G33" s="89"/>
      <c r="H33" s="99"/>
      <c r="I33" s="106"/>
      <c r="J33" s="64"/>
    </row>
    <row r="34" spans="1:10" ht="14.25" customHeight="1">
      <c r="A34" s="89"/>
      <c r="B34" s="99"/>
      <c r="C34" s="106"/>
      <c r="D34" s="89"/>
      <c r="E34" s="99"/>
      <c r="F34" s="106"/>
      <c r="G34" s="89"/>
      <c r="H34" s="99"/>
      <c r="I34" s="106"/>
      <c r="J34" s="64"/>
    </row>
    <row r="35" spans="1:10" ht="14.25" customHeight="1">
      <c r="A35" s="90" t="s">
        <v>263</v>
      </c>
      <c r="B35" s="100"/>
      <c r="C35" s="107"/>
      <c r="D35" s="90" t="s">
        <v>263</v>
      </c>
      <c r="E35" s="100"/>
      <c r="F35" s="107"/>
      <c r="G35" s="90" t="s">
        <v>263</v>
      </c>
      <c r="H35" s="100"/>
      <c r="I35" s="107"/>
      <c r="J35" s="64"/>
    </row>
    <row r="36" spans="1:9" ht="11.25" customHeight="1">
      <c r="A36" s="91" t="s">
        <v>52</v>
      </c>
      <c r="B36" s="101"/>
      <c r="C36" s="101"/>
      <c r="D36" s="101"/>
      <c r="E36" s="101"/>
      <c r="F36" s="101"/>
      <c r="G36" s="101"/>
      <c r="H36" s="101"/>
      <c r="I36" s="101"/>
    </row>
    <row r="37" spans="1:9" ht="0" customHeight="1" hidden="1">
      <c r="A37" s="16"/>
      <c r="B37" s="19"/>
      <c r="C37" s="19"/>
      <c r="D37" s="19"/>
      <c r="E37" s="19"/>
      <c r="F37" s="19"/>
      <c r="G37" s="19"/>
      <c r="H37" s="19"/>
      <c r="I37" s="1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