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<sst xmlns="http://schemas.openxmlformats.org/spreadsheetml/2006/main" count="568" uniqueCount="277">
  <si>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</si>
  <si>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</si>
  <si>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</si>
  <si>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</si>
  <si>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</si>
  <si>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</si>
  <si>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</si>
  <si>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</si>
  <si>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</si>
  <si>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</si>
  <si>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</si>
  <si>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</si>
  <si>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</si>
  <si>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</si>
  <si>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</si>
  <si>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</si>
  <si>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</si>
  <si>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</si>
  <si>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</si>
  <si>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</si>
  <si>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</si>
  <si>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</si>
  <si>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</si>
  <si>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</si>
  <si>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</si>
  <si>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</si>
  <si>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</si>
  <si>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</si>
  <si>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</si>
  <si>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</si>
  <si>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</si>
  <si>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</si>
  <si>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</si>
  <si>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</si>
  <si>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</si>
  <si>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</si>
  <si>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</si>
  <si>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</si>
  <si>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</si>
  <si>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</si>
  <si>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</si>
  <si>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</si>
  <si>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</si>
  <si>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</si>
  <si>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</si>
  <si>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Poznámka:</t>
  </si>
  <si>
    <t>Objekt</t>
  </si>
  <si>
    <t>Kód</t>
  </si>
  <si>
    <t>61</t>
  </si>
  <si>
    <t>612409991R00</t>
  </si>
  <si>
    <t>612425931R00</t>
  </si>
  <si>
    <t>610991111R00</t>
  </si>
  <si>
    <t>64</t>
  </si>
  <si>
    <t>648991113RT2</t>
  </si>
  <si>
    <t>648991113RT3</t>
  </si>
  <si>
    <t>648991113RT4</t>
  </si>
  <si>
    <t>94</t>
  </si>
  <si>
    <t>941955001R00</t>
  </si>
  <si>
    <t>95</t>
  </si>
  <si>
    <t>952901114R00</t>
  </si>
  <si>
    <t>998011003R00</t>
  </si>
  <si>
    <t>96</t>
  </si>
  <si>
    <t>968061112R00</t>
  </si>
  <si>
    <t>968062354R00</t>
  </si>
  <si>
    <t>968062355R00</t>
  </si>
  <si>
    <t>968062356R00</t>
  </si>
  <si>
    <t>968095001R00</t>
  </si>
  <si>
    <t>968095002R00</t>
  </si>
  <si>
    <t>962081131R00</t>
  </si>
  <si>
    <t>97</t>
  </si>
  <si>
    <t>978013191R00</t>
  </si>
  <si>
    <t>S</t>
  </si>
  <si>
    <t>979082111R00</t>
  </si>
  <si>
    <t>979082121R00</t>
  </si>
  <si>
    <t>979990001R00</t>
  </si>
  <si>
    <t>979990109R00</t>
  </si>
  <si>
    <t>979990162R00</t>
  </si>
  <si>
    <t>979011111R00</t>
  </si>
  <si>
    <t>979011121R00</t>
  </si>
  <si>
    <t>979081111R00</t>
  </si>
  <si>
    <t>979081121R00</t>
  </si>
  <si>
    <t>764</t>
  </si>
  <si>
    <t>764510285VD</t>
  </si>
  <si>
    <t>998764103R00</t>
  </si>
  <si>
    <t>766</t>
  </si>
  <si>
    <t>766621280VD</t>
  </si>
  <si>
    <t>766601216R00</t>
  </si>
  <si>
    <t>766601229R00</t>
  </si>
  <si>
    <t>766692401VD</t>
  </si>
  <si>
    <t>998766103R00</t>
  </si>
  <si>
    <t>781</t>
  </si>
  <si>
    <t>781320121R00</t>
  </si>
  <si>
    <t>597813622</t>
  </si>
  <si>
    <t>998781103R00</t>
  </si>
  <si>
    <t>784</t>
  </si>
  <si>
    <t>784161401R00</t>
  </si>
  <si>
    <t>784165212R00</t>
  </si>
  <si>
    <t>Výměna oken OA TGM Kostelec nad Orlicí - 1. etapa</t>
  </si>
  <si>
    <t>Kostelec nad Orlicí</t>
  </si>
  <si>
    <t>Zkrácený popis</t>
  </si>
  <si>
    <t>Rozměry</t>
  </si>
  <si>
    <t>Úprava povrchů vnitřní</t>
  </si>
  <si>
    <t>Začištění omítek kolem oken,dveří apod.</t>
  </si>
  <si>
    <t>venkovní ostění</t>
  </si>
  <si>
    <t>Omítka vápenná vnitřního ostění - štuková</t>
  </si>
  <si>
    <t>Zakrývání výplní vnitřních otvorů</t>
  </si>
  <si>
    <t>Výplně otvorů</t>
  </si>
  <si>
    <t>Osazení parapet.desek plast. a lamin. š.nad 20cm</t>
  </si>
  <si>
    <t>včetně dodávky plastové parapetní desky š. 250 mm</t>
  </si>
  <si>
    <t>včetně dodávky plastové parapetní desky š. 300 mm</t>
  </si>
  <si>
    <t>včetně dodávky plastové parapetní desky š. 350 mm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</si>
  <si>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</si>
  <si>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</si>
  <si>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</si>
  <si>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nad 4 m</t>
  </si>
  <si>
    <t>60,06+93,72+94,38*2+34,22+93,72+94,38*2</t>
  </si>
  <si>
    <t>256,72+338,38+398,98*2+203,44+371,74+293,91*2</t>
  </si>
  <si>
    <t>Přesun hmot pro budovy zděné výšky do 24 m</t>
  </si>
  <si>
    <t>Bourání konstrukcí</t>
  </si>
  <si>
    <t>Vyvěšení dřevěných okenních křídel pl. do 1,5 m2</t>
  </si>
  <si>
    <t>Vybourání dřevěných rámů oken dvojitých pl. 1 m2</t>
  </si>
  <si>
    <t>Vybourání dřevěných rámů oken dvojitých pl. 2 m2</t>
  </si>
  <si>
    <t>Vybourání dřevěných rámů oken dvojitých pl. 4 m2</t>
  </si>
  <si>
    <t>Bourání parapetů dřevěných š. do 25 cm</t>
  </si>
  <si>
    <t>Bourání parapetů dřevěných š. do 50 cm</t>
  </si>
  <si>
    <t>115,97+17,33</t>
  </si>
  <si>
    <t>Bourání příček ze skleněných tvárnic tl. 10 cm</t>
  </si>
  <si>
    <t>Prorážení otvorů a ostatní bourací práce</t>
  </si>
  <si>
    <t>Otlučení omítek vnitřních stěn v rozsahu do 100 %</t>
  </si>
  <si>
    <t>ostění, u kónického jen část</t>
  </si>
  <si>
    <t>Přesuny sutí</t>
  </si>
  <si>
    <t>Vnitrostaveništní doprava suti do 10 m</t>
  </si>
  <si>
    <t>Příplatek k vnitrost. dopravě suti za dalších 5 m</t>
  </si>
  <si>
    <t>27,48943*3</t>
  </si>
  <si>
    <t>Poplatek za skládku stavební suti</t>
  </si>
  <si>
    <t>27,48943-0,0557-20,49673</t>
  </si>
  <si>
    <t>Poplatek za skládku suti - skleněné tvárnice</t>
  </si>
  <si>
    <t>Poplatek za skládku suti - dřevo+sklo</t>
  </si>
  <si>
    <t>Svislá doprava suti a vybour. hmot za 2.NP a 1.PP</t>
  </si>
  <si>
    <t>1,554+8,645</t>
  </si>
  <si>
    <t>Příplatek za každé další podlaží</t>
  </si>
  <si>
    <t>8,645*2</t>
  </si>
  <si>
    <t>Odvoz suti a vybour. hmot na skládku do 1 km</t>
  </si>
  <si>
    <t>Příplatek k odvozu za každý další 1 km</t>
  </si>
  <si>
    <t>27,48943*16</t>
  </si>
  <si>
    <t>Konstrukce klempířské</t>
  </si>
  <si>
    <t>Překrývací lišta parapetního plechu Cu</t>
  </si>
  <si>
    <t>nastavení stávajícího parapetního plechu Cu k rámu okna</t>
  </si>
  <si>
    <t>Přesun hmot pro klempířské konstr., výšky do 24 m</t>
  </si>
  <si>
    <t>Konstrukce truhlářské</t>
  </si>
  <si>
    <t>Celkem dodávka a montáž plastových oken</t>
  </si>
  <si>
    <t>1. etapa celkem 115 ks podle rozpisu oken
trojsklo XN 6ONE-12-4-12-4XN a trojsklo 4-12-4 podřadné místnosti</t>
  </si>
  <si>
    <t>Těsnění oken.spáry, ostění, PT folie + PP páska</t>
  </si>
  <si>
    <t>96,3+3,52+3,04+2,98+2,01+96,3+3,09+2,61+410,88+10,08+14,12</t>
  </si>
  <si>
    <t>12,4+13,32</t>
  </si>
  <si>
    <t>Těsnění oken.spáry,parapet,PT folie+PP folie+páska</t>
  </si>
  <si>
    <t>19,5+0,94+0,84+0,98+0,87+19,5+1,03+0,87+83,2+2,7+3,72</t>
  </si>
  <si>
    <t>3,6+3,96</t>
  </si>
  <si>
    <t>Roleta látková 140/270 dodávka a montáž</t>
  </si>
  <si>
    <t>Přesun hmot pro truhlářské konstr., výšky do 24 m</t>
  </si>
  <si>
    <t>Obklady (keramické)</t>
  </si>
  <si>
    <t>Obkládání parapetů do tmele šířky do 300 mm</t>
  </si>
  <si>
    <t>0,94*5</t>
  </si>
  <si>
    <t>Obkládačka 20x20 béžová mat</t>
  </si>
  <si>
    <t>0,24</t>
  </si>
  <si>
    <t>;ztratné 2%; 0,0048</t>
  </si>
  <si>
    <t>Přesun hmot pro obklady keramické, výšky do 24 m</t>
  </si>
  <si>
    <t>Malby</t>
  </si>
  <si>
    <t>Penetrace podkladu nátěrem HET, Klasik, 1 x</t>
  </si>
  <si>
    <t>(2,85+2,20+2,10+3,85+2,95)*2,90+(3,85+2,0)*2,90</t>
  </si>
  <si>
    <t>(10,30+2,15*2+4,80*2+2,15*2+10,30)*2,90</t>
  </si>
  <si>
    <t>(10,20*2+4,0*2+10,30*4+10,0)*4,0</t>
  </si>
  <si>
    <t>(10,20*2+4,10*2+10,30*3+4,30*2+5,60+4,60+9,80)*4,0</t>
  </si>
  <si>
    <t>(10,20*2+4,10*2+10,30*4+10,0+4,55+4,30)*4,0</t>
  </si>
  <si>
    <t>Malba HET Super malba, bílá, bez penetrace, 2x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</si>
  <si>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</si>
  <si>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</si>
  <si>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</si>
  <si>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</si>
  <si>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</si>
  <si>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</si>
  <si>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</si>
  <si>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t</t>
  </si>
  <si>
    <t>kus</t>
  </si>
  <si>
    <t>Kč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</si>
  <si>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</si>
  <si>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</si>
  <si>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</si>
  <si>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</si>
  <si>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</si>
  <si>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</si>
  <si>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</si>
  <si>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</si>
  <si>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</si>
  <si>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</si>
  <si>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</si>
  <si>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</si>
  <si>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</si>
  <si>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</si>
  <si>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</si>
  <si>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</si>
  <si>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</si>
  <si>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</si>
  <si>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</si>
  <si>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</si>
  <si>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</si>
  <si>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</si>
  <si>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</si>
  <si>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</si>
  <si>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</si>
  <si>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</si>
  <si>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</si>
  <si>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</si>
  <si>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94_</t>
  </si>
  <si>
    <t>95_</t>
  </si>
  <si>
    <t>96_</t>
  </si>
  <si>
    <t>97_</t>
  </si>
  <si>
    <t>S_</t>
  </si>
  <si>
    <t>764_</t>
  </si>
  <si>
    <t>766_</t>
  </si>
  <si>
    <t>781_</t>
  </si>
  <si>
    <t>784_</t>
  </si>
  <si>
    <t>6_</t>
  </si>
  <si>
    <t>9_</t>
  </si>
  <si>
    <t>76_</t>
  </si>
  <si>
    <t>78_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</si>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</sst>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12" fillId="3" borderId="31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3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3" borderId="30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" fontId="14" fillId="0" borderId="31" xfId="0" applyNumberFormat="1" applyFont="1" applyFill="1" applyBorder="1" applyAlignment="1" applyProtection="1">
      <alignment horizontal="right" vertical="center"/>
      <protection/>
    </xf>
    <xf numFmtId="49" fontId="14" fillId="0" borderId="31" xfId="0" applyNumberFormat="1" applyFont="1" applyFill="1" applyBorder="1" applyAlignment="1" applyProtection="1">
      <alignment horizontal="right"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0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48.28125" customWidth="1"/>
    <col min="5" max="5" width="4.281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6" t="s">
        <v>97</v>
      </c>
      <c r="E2" s="31" t="s">
        <v>175</v>
      </c>
      <c r="F2" s="18"/>
      <c r="G2" s="31"/>
      <c r="H2" s="18"/>
      <c r="I2" s="47" t="s">
        <v>191</v>
      </c>
      <c r="J2" s="47"/>
      <c r="K2" s="18"/>
      <c r="L2" s="18"/>
      <c r="M2" s="55"/>
      <c r="N2" s="63"/>
    </row>
    <row r="3" spans="1:14" ht="12.75">
      <c r="A3" s="4"/>
      <c r="B3" s="19"/>
      <c r="C3" s="19"/>
      <c r="D3" s="27"/>
      <c r="E3" s="19"/>
      <c r="F3" s="19"/>
      <c r="G3" s="19"/>
      <c r="H3" s="19"/>
      <c r="I3" s="19"/>
      <c r="J3" s="19"/>
      <c r="K3" s="19"/>
      <c r="L3" s="19"/>
      <c r="M3" s="56"/>
      <c r="N3" s="63"/>
    </row>
    <row r="4" spans="1:14" ht="12.75">
      <c r="A4" s="5" t="s">
        <v>2</v>
      </c>
      <c r="B4" s="19"/>
      <c r="C4" s="19"/>
      <c r="D4" s="16"/>
      <c r="E4" s="32" t="s">
        <v>176</v>
      </c>
      <c r="F4" s="19"/>
      <c r="G4" s="32" t="s">
        <v>6</v>
      </c>
      <c r="H4" s="19"/>
      <c r="I4" s="16" t="s">
        <v>192</v>
      </c>
      <c r="J4" s="16"/>
      <c r="K4" s="19"/>
      <c r="L4" s="19"/>
      <c r="M4" s="56"/>
      <c r="N4" s="63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6"/>
      <c r="N5" s="63"/>
    </row>
    <row r="6" spans="1:14" ht="12.75">
      <c r="A6" s="5" t="s">
        <v>3</v>
      </c>
      <c r="B6" s="19"/>
      <c r="C6" s="19"/>
      <c r="D6" s="16" t="s">
        <v>98</v>
      </c>
      <c r="E6" s="32" t="s">
        <v>177</v>
      </c>
      <c r="F6" s="19"/>
      <c r="G6" s="19"/>
      <c r="H6" s="19"/>
      <c r="I6" s="16" t="s">
        <v>193</v>
      </c>
      <c r="J6" s="16"/>
      <c r="K6" s="19"/>
      <c r="L6" s="19"/>
      <c r="M6" s="56"/>
      <c r="N6" s="63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6"/>
      <c r="N7" s="63"/>
    </row>
    <row r="8" spans="1:14" ht="12.75">
      <c r="A8" s="5" t="s">
        <v>4</v>
      </c>
      <c r="B8" s="19"/>
      <c r="C8" s="19"/>
      <c r="D8" s="16"/>
      <c r="E8" s="32" t="s">
        <v>178</v>
      </c>
      <c r="F8" s="19"/>
      <c r="G8" s="41">
        <v>42754</v>
      </c>
      <c r="H8" s="19"/>
      <c r="I8" s="16" t="s">
        <v>194</v>
      </c>
      <c r="J8" s="16" t="s">
        <v>196</v>
      </c>
      <c r="K8" s="19"/>
      <c r="L8" s="19"/>
      <c r="M8" s="56"/>
      <c r="N8" s="63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7"/>
      <c r="N9" s="63"/>
    </row>
    <row r="10" spans="1:14" ht="12.75">
      <c r="A10" s="7" t="s">
        <v>5</v>
      </c>
      <c r="B10" s="21" t="s">
        <v>46</v>
      </c>
      <c r="C10" s="21" t="s">
        <v>47</v>
      </c>
      <c r="D10" s="21" t="s">
        <v>99</v>
      </c>
      <c r="E10" s="21" t="s">
        <v>179</v>
      </c>
      <c r="F10" s="36" t="s">
        <v>185</v>
      </c>
      <c r="G10" s="42" t="s">
        <v>186</v>
      </c>
      <c r="H10" s="44" t="s">
        <v>188</v>
      </c>
      <c r="I10" s="48"/>
      <c r="J10" s="51"/>
      <c r="K10" s="44" t="s">
        <v>198</v>
      </c>
      <c r="L10" s="51"/>
      <c r="M10" s="58" t="s">
        <v>199</v>
      </c>
      <c r="N10" s="64"/>
    </row>
    <row r="11" spans="1:24" ht="12.75">
      <c r="A11" s="8" t="s">
        <v>6</v>
      </c>
      <c r="B11" s="22" t="s">
        <v>6</v>
      </c>
      <c r="C11" s="22" t="s">
        <v>6</v>
      </c>
      <c r="D11" s="28" t="s">
        <v>100</v>
      </c>
      <c r="E11" s="22" t="s">
        <v>6</v>
      </c>
      <c r="F11" s="22" t="s">
        <v>6</v>
      </c>
      <c r="G11" s="43" t="s">
        <v>187</v>
      </c>
      <c r="H11" s="45" t="s">
        <v>189</v>
      </c>
      <c r="I11" s="49" t="s">
        <v>195</v>
      </c>
      <c r="J11" s="52" t="s">
        <v>197</v>
      </c>
      <c r="K11" s="45" t="s">
        <v>186</v>
      </c>
      <c r="L11" s="52" t="s">
        <v>197</v>
      </c>
      <c r="M11" s="59" t="s">
        <v>200</v>
      </c>
      <c r="N11" s="64"/>
      <c r="P11" s="54" t="s">
        <v>202</v>
      </c>
      <c r="Q11" s="54" t="s">
        <v>203</v>
      </c>
      <c r="R11" s="54" t="s">
        <v>204</v>
      </c>
      <c r="S11" s="54" t="s">
        <v>205</v>
      </c>
      <c r="T11" s="54" t="s">
        <v>206</v>
      </c>
      <c r="U11" s="54" t="s">
        <v>207</v>
      </c>
      <c r="V11" s="54" t="s">
        <v>208</v>
      </c>
      <c r="W11" s="54" t="s">
        <v>209</v>
      </c>
      <c r="X11" s="54" t="s">
        <v>210</v>
      </c>
    </row>
    <row r="12" spans="1:37" ht="12.75">
      <c r="A12" s="9"/>
      <c r="B12" s="23"/>
      <c r="C12" s="23" t="s">
        <v>48</v>
      </c>
      <c r="D12" s="23" t="s">
        <v>101</v>
      </c>
      <c r="E12" s="33"/>
      <c r="F12" s="33"/>
      <c r="G12" s="33"/>
      <c r="H12" s="67">
        <f>SUM(H13:H16)</f>
        <v>0</v>
      </c>
      <c r="I12" s="67">
        <f>SUM(I13:I16)</f>
        <v>0</v>
      </c>
      <c r="J12" s="67">
        <f>H12+I12</f>
        <v>0</v>
      </c>
      <c r="K12" s="53"/>
      <c r="L12" s="67">
        <f>SUM(L13:L16)</f>
        <v>10.6998355</v>
      </c>
      <c r="M12" s="53"/>
      <c r="Y12" s="54"/>
      <c r="AI12" s="68">
        <f>SUM(Z13:Z16)</f>
        <v>0</v>
      </c>
      <c r="AJ12" s="68">
        <f>SUM(AA13:AA16)</f>
        <v>0</v>
      </c>
      <c r="AK12" s="68">
        <f>SUM(AB13:AB16)</f>
        <v>0</v>
      </c>
    </row>
    <row r="13" spans="1:48" ht="12.75">
      <c r="A13" s="10" t="s">
        <v>7</v>
      </c>
      <c r="B13" s="10"/>
      <c r="C13" s="10" t="s">
        <v>49</v>
      </c>
      <c r="D13" s="10" t="s">
        <v>102</v>
      </c>
      <c r="E13" s="10" t="s">
        <v>180</v>
      </c>
      <c r="F13" s="37">
        <v>715.08</v>
      </c>
      <c r="G13" s="37">
        <v>0</v>
      </c>
      <c r="H13" s="37">
        <f>F13*AE13</f>
        <v>0</v>
      </c>
      <c r="I13" s="37">
        <f>J13-H13</f>
        <v>0</v>
      </c>
      <c r="J13" s="37">
        <f>F13*G13</f>
        <v>0</v>
      </c>
      <c r="K13" s="37">
        <v>0.00371</v>
      </c>
      <c r="L13" s="37">
        <f>F13*K13</f>
        <v>2.6529468000000005</v>
      </c>
      <c r="M13" s="60" t="s">
        <v>201</v>
      </c>
      <c r="P13" s="65">
        <f>IF(AG13="5",J13,0)</f>
        <v>0</v>
      </c>
      <c r="R13" s="65">
        <f>IF(AG13="1",H13,0)</f>
        <v>0</v>
      </c>
      <c r="S13" s="65">
        <f>IF(AG13="1",I13,0)</f>
        <v>0</v>
      </c>
      <c r="T13" s="65">
        <f>IF(AG13="7",H13,0)</f>
        <v>0</v>
      </c>
      <c r="U13" s="65">
        <f>IF(AG13="7",I13,0)</f>
        <v>0</v>
      </c>
      <c r="V13" s="65">
        <f>IF(AG13="2",H13,0)</f>
        <v>0</v>
      </c>
      <c r="W13" s="65">
        <f>IF(AG13="2",I13,0)</f>
        <v>0</v>
      </c>
      <c r="X13" s="65">
        <f>IF(AG13="0",J13,0)</f>
        <v>0</v>
      </c>
      <c r="Y13" s="54"/>
      <c r="Z13" s="37">
        <f>IF(AD13=0,J13,0)</f>
        <v>0</v>
      </c>
      <c r="AA13" s="37">
        <f>IF(AD13=15,J13,0)</f>
        <v>0</v>
      </c>
      <c r="AB13" s="37">
        <f>IF(AD13=21,J13,0)</f>
        <v>0</v>
      </c>
      <c r="AD13" s="65">
        <v>15</v>
      </c>
      <c r="AE13" s="65">
        <f>G13*0.0605657237936772</f>
        <v>0</v>
      </c>
      <c r="AF13" s="65">
        <f>G13*(1-0.0605657237936772)</f>
        <v>0</v>
      </c>
      <c r="AG13" s="60" t="s">
        <v>7</v>
      </c>
      <c r="AM13" s="65">
        <f>F13*AE13</f>
        <v>0</v>
      </c>
      <c r="AN13" s="65">
        <f>F13*AF13</f>
        <v>0</v>
      </c>
      <c r="AO13" s="66" t="s">
        <v>211</v>
      </c>
      <c r="AP13" s="66" t="s">
        <v>222</v>
      </c>
      <c r="AQ13" s="54" t="s">
        <v>226</v>
      </c>
      <c r="AS13" s="65">
        <f>AM13+AN13</f>
        <v>0</v>
      </c>
      <c r="AT13" s="65">
        <f>G13/(100-AU13)*100</f>
        <v>0</v>
      </c>
      <c r="AU13" s="65">
        <v>0</v>
      </c>
      <c r="AV13" s="65">
        <f>L13</f>
        <v>2.6529468000000005</v>
      </c>
    </row>
    <row r="14" spans="3:13" ht="12.75">
      <c r="C14" s="25" t="s">
        <v>45</v>
      </c>
      <c r="D14" s="29" t="s">
        <v>103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48" ht="12.75">
      <c r="A15" s="10" t="s">
        <v>8</v>
      </c>
      <c r="B15" s="10"/>
      <c r="C15" s="10" t="s">
        <v>50</v>
      </c>
      <c r="D15" s="10" t="s">
        <v>104</v>
      </c>
      <c r="E15" s="10" t="s">
        <v>181</v>
      </c>
      <c r="F15" s="37">
        <v>149.63</v>
      </c>
      <c r="G15" s="37">
        <v>0</v>
      </c>
      <c r="H15" s="37">
        <f>F15*AE15</f>
        <v>0</v>
      </c>
      <c r="I15" s="37">
        <f>J15-H15</f>
        <v>0</v>
      </c>
      <c r="J15" s="37">
        <f>F15*G15</f>
        <v>0</v>
      </c>
      <c r="K15" s="37">
        <v>0.05369</v>
      </c>
      <c r="L15" s="37">
        <f>F15*K15</f>
        <v>8.0336347</v>
      </c>
      <c r="M15" s="60" t="s">
        <v>201</v>
      </c>
      <c r="P15" s="65">
        <f>IF(AG15="5",J15,0)</f>
        <v>0</v>
      </c>
      <c r="R15" s="65">
        <f>IF(AG15="1",H15,0)</f>
        <v>0</v>
      </c>
      <c r="S15" s="65">
        <f>IF(AG15="1",I15,0)</f>
        <v>0</v>
      </c>
      <c r="T15" s="65">
        <f>IF(AG15="7",H15,0)</f>
        <v>0</v>
      </c>
      <c r="U15" s="65">
        <f>IF(AG15="7",I15,0)</f>
        <v>0</v>
      </c>
      <c r="V15" s="65">
        <f>IF(AG15="2",H15,0)</f>
        <v>0</v>
      </c>
      <c r="W15" s="65">
        <f>IF(AG15="2",I15,0)</f>
        <v>0</v>
      </c>
      <c r="X15" s="65">
        <f>IF(AG15="0",J15,0)</f>
        <v>0</v>
      </c>
      <c r="Y15" s="54"/>
      <c r="Z15" s="37">
        <f>IF(AD15=0,J15,0)</f>
        <v>0</v>
      </c>
      <c r="AA15" s="37">
        <f>IF(AD15=15,J15,0)</f>
        <v>0</v>
      </c>
      <c r="AB15" s="37">
        <f>IF(AD15=21,J15,0)</f>
        <v>0</v>
      </c>
      <c r="AD15" s="65">
        <v>15</v>
      </c>
      <c r="AE15" s="65">
        <f>G15*0.178960302457467</f>
        <v>0</v>
      </c>
      <c r="AF15" s="65">
        <f>G15*(1-0.178960302457467)</f>
        <v>0</v>
      </c>
      <c r="AG15" s="60" t="s">
        <v>7</v>
      </c>
      <c r="AM15" s="65">
        <f>F15*AE15</f>
        <v>0</v>
      </c>
      <c r="AN15" s="65">
        <f>F15*AF15</f>
        <v>0</v>
      </c>
      <c r="AO15" s="66" t="s">
        <v>211</v>
      </c>
      <c r="AP15" s="66" t="s">
        <v>222</v>
      </c>
      <c r="AQ15" s="54" t="s">
        <v>226</v>
      </c>
      <c r="AS15" s="65">
        <f>AM15+AN15</f>
        <v>0</v>
      </c>
      <c r="AT15" s="65">
        <f>G15/(100-AU15)*100</f>
        <v>0</v>
      </c>
      <c r="AU15" s="65">
        <v>0</v>
      </c>
      <c r="AV15" s="65">
        <f>L15</f>
        <v>8.0336347</v>
      </c>
    </row>
    <row r="16" spans="1:48" ht="12.75">
      <c r="A16" s="10" t="s">
        <v>9</v>
      </c>
      <c r="B16" s="10"/>
      <c r="C16" s="10" t="s">
        <v>51</v>
      </c>
      <c r="D16" s="10" t="s">
        <v>105</v>
      </c>
      <c r="E16" s="10" t="s">
        <v>181</v>
      </c>
      <c r="F16" s="37">
        <v>331.35</v>
      </c>
      <c r="G16" s="37">
        <v>0</v>
      </c>
      <c r="H16" s="37">
        <f>F16*AE16</f>
        <v>0</v>
      </c>
      <c r="I16" s="37">
        <f>J16-H16</f>
        <v>0</v>
      </c>
      <c r="J16" s="37">
        <f>F16*G16</f>
        <v>0</v>
      </c>
      <c r="K16" s="37">
        <v>4E-05</v>
      </c>
      <c r="L16" s="37">
        <f>F16*K16</f>
        <v>0.013254000000000002</v>
      </c>
      <c r="M16" s="60" t="s">
        <v>201</v>
      </c>
      <c r="P16" s="65">
        <f>IF(AG16="5",J16,0)</f>
        <v>0</v>
      </c>
      <c r="R16" s="65">
        <f>IF(AG16="1",H16,0)</f>
        <v>0</v>
      </c>
      <c r="S16" s="65">
        <f>IF(AG16="1",I16,0)</f>
        <v>0</v>
      </c>
      <c r="T16" s="65">
        <f>IF(AG16="7",H16,0)</f>
        <v>0</v>
      </c>
      <c r="U16" s="65">
        <f>IF(AG16="7",I16,0)</f>
        <v>0</v>
      </c>
      <c r="V16" s="65">
        <f>IF(AG16="2",H16,0)</f>
        <v>0</v>
      </c>
      <c r="W16" s="65">
        <f>IF(AG16="2",I16,0)</f>
        <v>0</v>
      </c>
      <c r="X16" s="65">
        <f>IF(AG16="0",J16,0)</f>
        <v>0</v>
      </c>
      <c r="Y16" s="54"/>
      <c r="Z16" s="37">
        <f>IF(AD16=0,J16,0)</f>
        <v>0</v>
      </c>
      <c r="AA16" s="37">
        <f>IF(AD16=15,J16,0)</f>
        <v>0</v>
      </c>
      <c r="AB16" s="37">
        <f>IF(AD16=21,J16,0)</f>
        <v>0</v>
      </c>
      <c r="AD16" s="65">
        <v>15</v>
      </c>
      <c r="AE16" s="65">
        <f>G16*0.362200579099763</f>
        <v>0</v>
      </c>
      <c r="AF16" s="65">
        <f>G16*(1-0.362200579099763)</f>
        <v>0</v>
      </c>
      <c r="AG16" s="60" t="s">
        <v>7</v>
      </c>
      <c r="AM16" s="65">
        <f>F16*AE16</f>
        <v>0</v>
      </c>
      <c r="AN16" s="65">
        <f>F16*AF16</f>
        <v>0</v>
      </c>
      <c r="AO16" s="66" t="s">
        <v>211</v>
      </c>
      <c r="AP16" s="66" t="s">
        <v>222</v>
      </c>
      <c r="AQ16" s="54" t="s">
        <v>226</v>
      </c>
      <c r="AS16" s="65">
        <f>AM16+AN16</f>
        <v>0</v>
      </c>
      <c r="AT16" s="65">
        <f>G16/(100-AU16)*100</f>
        <v>0</v>
      </c>
      <c r="AU16" s="65">
        <v>0</v>
      </c>
      <c r="AV16" s="65">
        <f>L16</f>
        <v>0.013254000000000002</v>
      </c>
    </row>
    <row r="17" spans="1:37" ht="12.75">
      <c r="A17" s="11"/>
      <c r="B17" s="24"/>
      <c r="C17" s="24" t="s">
        <v>52</v>
      </c>
      <c r="D17" s="24" t="s">
        <v>106</v>
      </c>
      <c r="E17" s="35"/>
      <c r="F17" s="35"/>
      <c r="G17" s="35"/>
      <c r="H17" s="68">
        <f>SUM(H18:H22)</f>
        <v>0</v>
      </c>
      <c r="I17" s="68">
        <f>SUM(I18:I22)</f>
        <v>0</v>
      </c>
      <c r="J17" s="68">
        <f>H17+I17</f>
        <v>0</v>
      </c>
      <c r="K17" s="54"/>
      <c r="L17" s="68">
        <f>SUM(L18:L22)</f>
        <v>0.8372963999999999</v>
      </c>
      <c r="M17" s="54"/>
      <c r="Y17" s="54"/>
      <c r="AI17" s="68">
        <f>SUM(Z18:Z22)</f>
        <v>0</v>
      </c>
      <c r="AJ17" s="68">
        <f>SUM(AA18:AA22)</f>
        <v>0</v>
      </c>
      <c r="AK17" s="68">
        <f>SUM(AB18:AB22)</f>
        <v>0</v>
      </c>
    </row>
    <row r="18" spans="1:48" ht="12.75">
      <c r="A18" s="10" t="s">
        <v>10</v>
      </c>
      <c r="B18" s="10"/>
      <c r="C18" s="10" t="s">
        <v>53</v>
      </c>
      <c r="D18" s="10" t="s">
        <v>107</v>
      </c>
      <c r="E18" s="10" t="s">
        <v>180</v>
      </c>
      <c r="F18" s="37">
        <v>0.89</v>
      </c>
      <c r="G18" s="37">
        <v>0</v>
      </c>
      <c r="H18" s="37">
        <f>F18*AE18</f>
        <v>0</v>
      </c>
      <c r="I18" s="37">
        <f>J18-H18</f>
        <v>0</v>
      </c>
      <c r="J18" s="37">
        <f>F18*G18</f>
        <v>0</v>
      </c>
      <c r="K18" s="37">
        <v>0.00551</v>
      </c>
      <c r="L18" s="37">
        <f>F18*K18</f>
        <v>0.0049039</v>
      </c>
      <c r="M18" s="60" t="s">
        <v>201</v>
      </c>
      <c r="P18" s="65">
        <f>IF(AG18="5",J18,0)</f>
        <v>0</v>
      </c>
      <c r="R18" s="65">
        <f>IF(AG18="1",H18,0)</f>
        <v>0</v>
      </c>
      <c r="S18" s="65">
        <f>IF(AG18="1",I18,0)</f>
        <v>0</v>
      </c>
      <c r="T18" s="65">
        <f>IF(AG18="7",H18,0)</f>
        <v>0</v>
      </c>
      <c r="U18" s="65">
        <f>IF(AG18="7",I18,0)</f>
        <v>0</v>
      </c>
      <c r="V18" s="65">
        <f>IF(AG18="2",H18,0)</f>
        <v>0</v>
      </c>
      <c r="W18" s="65">
        <f>IF(AG18="2",I18,0)</f>
        <v>0</v>
      </c>
      <c r="X18" s="65">
        <f>IF(AG18="0",J18,0)</f>
        <v>0</v>
      </c>
      <c r="Y18" s="54"/>
      <c r="Z18" s="37">
        <f>IF(AD18=0,J18,0)</f>
        <v>0</v>
      </c>
      <c r="AA18" s="37">
        <f>IF(AD18=15,J18,0)</f>
        <v>0</v>
      </c>
      <c r="AB18" s="37">
        <f>IF(AD18=21,J18,0)</f>
        <v>0</v>
      </c>
      <c r="AD18" s="65">
        <v>15</v>
      </c>
      <c r="AE18" s="65">
        <f>G18*0.545496894409938</f>
        <v>0</v>
      </c>
      <c r="AF18" s="65">
        <f>G18*(1-0.545496894409938)</f>
        <v>0</v>
      </c>
      <c r="AG18" s="60" t="s">
        <v>7</v>
      </c>
      <c r="AM18" s="65">
        <f>F18*AE18</f>
        <v>0</v>
      </c>
      <c r="AN18" s="65">
        <f>F18*AF18</f>
        <v>0</v>
      </c>
      <c r="AO18" s="66" t="s">
        <v>212</v>
      </c>
      <c r="AP18" s="66" t="s">
        <v>222</v>
      </c>
      <c r="AQ18" s="54" t="s">
        <v>226</v>
      </c>
      <c r="AS18" s="65">
        <f>AM18+AN18</f>
        <v>0</v>
      </c>
      <c r="AT18" s="65">
        <f>G18/(100-AU18)*100</f>
        <v>0</v>
      </c>
      <c r="AU18" s="65">
        <v>0</v>
      </c>
      <c r="AV18" s="65">
        <f>L18</f>
        <v>0.0049039</v>
      </c>
    </row>
    <row r="19" spans="3:13" ht="12.75">
      <c r="C19" s="25" t="s">
        <v>45</v>
      </c>
      <c r="D19" s="29" t="s">
        <v>108</v>
      </c>
      <c r="E19" s="34"/>
      <c r="F19" s="34"/>
      <c r="G19" s="34"/>
      <c r="H19" s="34"/>
      <c r="I19" s="34"/>
      <c r="J19" s="34"/>
      <c r="K19" s="34"/>
      <c r="L19" s="34"/>
      <c r="M19" s="34"/>
    </row>
    <row r="20" spans="1:48" ht="12.75">
      <c r="A20" s="10" t="s">
        <v>11</v>
      </c>
      <c r="B20" s="10"/>
      <c r="C20" s="10" t="s">
        <v>54</v>
      </c>
      <c r="D20" s="10" t="s">
        <v>107</v>
      </c>
      <c r="E20" s="10" t="s">
        <v>180</v>
      </c>
      <c r="F20" s="37">
        <v>115.97</v>
      </c>
      <c r="G20" s="37">
        <v>0</v>
      </c>
      <c r="H20" s="37">
        <f>F20*AE20</f>
        <v>0</v>
      </c>
      <c r="I20" s="37">
        <f>J20-H20</f>
        <v>0</v>
      </c>
      <c r="J20" s="37">
        <f>F20*G20</f>
        <v>0</v>
      </c>
      <c r="K20" s="37">
        <v>0.00616</v>
      </c>
      <c r="L20" s="37">
        <f>F20*K20</f>
        <v>0.7143752</v>
      </c>
      <c r="M20" s="60" t="s">
        <v>201</v>
      </c>
      <c r="P20" s="65">
        <f>IF(AG20="5",J20,0)</f>
        <v>0</v>
      </c>
      <c r="R20" s="65">
        <f>IF(AG20="1",H20,0)</f>
        <v>0</v>
      </c>
      <c r="S20" s="65">
        <f>IF(AG20="1",I20,0)</f>
        <v>0</v>
      </c>
      <c r="T20" s="65">
        <f>IF(AG20="7",H20,0)</f>
        <v>0</v>
      </c>
      <c r="U20" s="65">
        <f>IF(AG20="7",I20,0)</f>
        <v>0</v>
      </c>
      <c r="V20" s="65">
        <f>IF(AG20="2",H20,0)</f>
        <v>0</v>
      </c>
      <c r="W20" s="65">
        <f>IF(AG20="2",I20,0)</f>
        <v>0</v>
      </c>
      <c r="X20" s="65">
        <f>IF(AG20="0",J20,0)</f>
        <v>0</v>
      </c>
      <c r="Y20" s="54"/>
      <c r="Z20" s="37">
        <f>IF(AD20=0,J20,0)</f>
        <v>0</v>
      </c>
      <c r="AA20" s="37">
        <f>IF(AD20=15,J20,0)</f>
        <v>0</v>
      </c>
      <c r="AB20" s="37">
        <f>IF(AD20=21,J20,0)</f>
        <v>0</v>
      </c>
      <c r="AD20" s="65">
        <v>15</v>
      </c>
      <c r="AE20" s="65">
        <f>G20*0.553810975609756</f>
        <v>0</v>
      </c>
      <c r="AF20" s="65">
        <f>G20*(1-0.553810975609756)</f>
        <v>0</v>
      </c>
      <c r="AG20" s="60" t="s">
        <v>7</v>
      </c>
      <c r="AM20" s="65">
        <f>F20*AE20</f>
        <v>0</v>
      </c>
      <c r="AN20" s="65">
        <f>F20*AF20</f>
        <v>0</v>
      </c>
      <c r="AO20" s="66" t="s">
        <v>212</v>
      </c>
      <c r="AP20" s="66" t="s">
        <v>222</v>
      </c>
      <c r="AQ20" s="54" t="s">
        <v>226</v>
      </c>
      <c r="AS20" s="65">
        <f>AM20+AN20</f>
        <v>0</v>
      </c>
      <c r="AT20" s="65">
        <f>G20/(100-AU20)*100</f>
        <v>0</v>
      </c>
      <c r="AU20" s="65">
        <v>0</v>
      </c>
      <c r="AV20" s="65">
        <f>L20</f>
        <v>0.7143752</v>
      </c>
    </row>
    <row r="21" spans="3:13" ht="12.75">
      <c r="C21" s="25" t="s">
        <v>45</v>
      </c>
      <c r="D21" s="29" t="s">
        <v>109</v>
      </c>
      <c r="E21" s="34"/>
      <c r="F21" s="34"/>
      <c r="G21" s="34"/>
      <c r="H21" s="34"/>
      <c r="I21" s="34"/>
      <c r="J21" s="34"/>
      <c r="K21" s="34"/>
      <c r="L21" s="34"/>
      <c r="M21" s="34"/>
    </row>
    <row r="22" spans="1:48" ht="12.75">
      <c r="A22" s="10" t="s">
        <v>12</v>
      </c>
      <c r="B22" s="10"/>
      <c r="C22" s="10" t="s">
        <v>55</v>
      </c>
      <c r="D22" s="10" t="s">
        <v>107</v>
      </c>
      <c r="E22" s="10" t="s">
        <v>180</v>
      </c>
      <c r="F22" s="37">
        <v>17.33</v>
      </c>
      <c r="G22" s="37">
        <v>0</v>
      </c>
      <c r="H22" s="37">
        <f>F22*AE22</f>
        <v>0</v>
      </c>
      <c r="I22" s="37">
        <f>J22-H22</f>
        <v>0</v>
      </c>
      <c r="J22" s="37">
        <f>F22*G22</f>
        <v>0</v>
      </c>
      <c r="K22" s="37">
        <v>0.00681</v>
      </c>
      <c r="L22" s="37">
        <f>F22*K22</f>
        <v>0.11801729999999999</v>
      </c>
      <c r="M22" s="60" t="s">
        <v>201</v>
      </c>
      <c r="P22" s="65">
        <f>IF(AG22="5",J22,0)</f>
        <v>0</v>
      </c>
      <c r="R22" s="65">
        <f>IF(AG22="1",H22,0)</f>
        <v>0</v>
      </c>
      <c r="S22" s="65">
        <f>IF(AG22="1",I22,0)</f>
        <v>0</v>
      </c>
      <c r="T22" s="65">
        <f>IF(AG22="7",H22,0)</f>
        <v>0</v>
      </c>
      <c r="U22" s="65">
        <f>IF(AG22="7",I22,0)</f>
        <v>0</v>
      </c>
      <c r="V22" s="65">
        <f>IF(AG22="2",H22,0)</f>
        <v>0</v>
      </c>
      <c r="W22" s="65">
        <f>IF(AG22="2",I22,0)</f>
        <v>0</v>
      </c>
      <c r="X22" s="65">
        <f>IF(AG22="0",J22,0)</f>
        <v>0</v>
      </c>
      <c r="Y22" s="54"/>
      <c r="Z22" s="37">
        <f>IF(AD22=0,J22,0)</f>
        <v>0</v>
      </c>
      <c r="AA22" s="37">
        <f>IF(AD22=15,J22,0)</f>
        <v>0</v>
      </c>
      <c r="AB22" s="37">
        <f>IF(AD22=21,J22,0)</f>
        <v>0</v>
      </c>
      <c r="AD22" s="65">
        <v>15</v>
      </c>
      <c r="AE22" s="65">
        <f>G22*0.583048433048433</f>
        <v>0</v>
      </c>
      <c r="AF22" s="65">
        <f>G22*(1-0.583048433048433)</f>
        <v>0</v>
      </c>
      <c r="AG22" s="60" t="s">
        <v>7</v>
      </c>
      <c r="AM22" s="65">
        <f>F22*AE22</f>
        <v>0</v>
      </c>
      <c r="AN22" s="65">
        <f>F22*AF22</f>
        <v>0</v>
      </c>
      <c r="AO22" s="66" t="s">
        <v>212</v>
      </c>
      <c r="AP22" s="66" t="s">
        <v>222</v>
      </c>
      <c r="AQ22" s="54" t="s">
        <v>226</v>
      </c>
      <c r="AS22" s="65">
        <f>AM22+AN22</f>
        <v>0</v>
      </c>
      <c r="AT22" s="65">
        <f>G22/(100-AU22)*100</f>
        <v>0</v>
      </c>
      <c r="AU22" s="65">
        <v>0</v>
      </c>
      <c r="AV22" s="65">
        <f>L22</f>
        <v>0.11801729999999999</v>
      </c>
    </row>
    <row r="23" spans="3:13" ht="12.75">
      <c r="C23" s="25" t="s">
        <v>45</v>
      </c>
      <c r="D23" s="29" t="s">
        <v>110</v>
      </c>
      <c r="E23" s="34"/>
      <c r="F23" s="34"/>
      <c r="G23" s="34"/>
      <c r="H23" s="34"/>
      <c r="I23" s="34"/>
      <c r="J23" s="34"/>
      <c r="K23" s="34"/>
      <c r="L23" s="34"/>
      <c r="M23" s="34"/>
    </row>
    <row r="24" spans="1:37" ht="12.75">
      <c r="A24" s="11"/>
      <c r="B24" s="24"/>
      <c r="C24" s="24" t="s">
        <v>56</v>
      </c>
      <c r="D24" s="24" t="s">
        <v>111</v>
      </c>
      <c r="E24" s="35"/>
      <c r="F24" s="35"/>
      <c r="G24" s="35"/>
      <c r="H24" s="68">
        <f>SUM(H25:H25)</f>
        <v>0</v>
      </c>
      <c r="I24" s="68">
        <f>SUM(I25:I25)</f>
        <v>0</v>
      </c>
      <c r="J24" s="68">
        <f>H24+I24</f>
        <v>0</v>
      </c>
      <c r="K24" s="54"/>
      <c r="L24" s="68">
        <f>SUM(L25:L25)</f>
        <v>0.3522552</v>
      </c>
      <c r="M24" s="54"/>
      <c r="Y24" s="54"/>
      <c r="AI24" s="68">
        <f>SUM(Z25:Z25)</f>
        <v>0</v>
      </c>
      <c r="AJ24" s="68">
        <f>SUM(AA25:AA25)</f>
        <v>0</v>
      </c>
      <c r="AK24" s="68">
        <f>SUM(AB25:AB25)</f>
        <v>0</v>
      </c>
    </row>
    <row r="25" spans="1:48" ht="12.75">
      <c r="A25" s="10" t="s">
        <v>13</v>
      </c>
      <c r="B25" s="10"/>
      <c r="C25" s="10" t="s">
        <v>57</v>
      </c>
      <c r="D25" s="10" t="s">
        <v>112</v>
      </c>
      <c r="E25" s="10" t="s">
        <v>181</v>
      </c>
      <c r="F25" s="37">
        <v>291.12</v>
      </c>
      <c r="G25" s="37">
        <v>0</v>
      </c>
      <c r="H25" s="37">
        <f>F25*AE25</f>
        <v>0</v>
      </c>
      <c r="I25" s="37">
        <f>J25-H25</f>
        <v>0</v>
      </c>
      <c r="J25" s="37">
        <f>F25*G25</f>
        <v>0</v>
      </c>
      <c r="K25" s="37">
        <v>0.00121</v>
      </c>
      <c r="L25" s="37">
        <f>F25*K25</f>
        <v>0.3522552</v>
      </c>
      <c r="M25" s="60" t="s">
        <v>201</v>
      </c>
      <c r="P25" s="65">
        <f>IF(AG25="5",J25,0)</f>
        <v>0</v>
      </c>
      <c r="R25" s="65">
        <f>IF(AG25="1",H25,0)</f>
        <v>0</v>
      </c>
      <c r="S25" s="65">
        <f>IF(AG25="1",I25,0)</f>
        <v>0</v>
      </c>
      <c r="T25" s="65">
        <f>IF(AG25="7",H25,0)</f>
        <v>0</v>
      </c>
      <c r="U25" s="65">
        <f>IF(AG25="7",I25,0)</f>
        <v>0</v>
      </c>
      <c r="V25" s="65">
        <f>IF(AG25="2",H25,0)</f>
        <v>0</v>
      </c>
      <c r="W25" s="65">
        <f>IF(AG25="2",I25,0)</f>
        <v>0</v>
      </c>
      <c r="X25" s="65">
        <f>IF(AG25="0",J25,0)</f>
        <v>0</v>
      </c>
      <c r="Y25" s="54"/>
      <c r="Z25" s="37">
        <f>IF(AD25=0,J25,0)</f>
        <v>0</v>
      </c>
      <c r="AA25" s="37">
        <f>IF(AD25=15,J25,0)</f>
        <v>0</v>
      </c>
      <c r="AB25" s="37">
        <f>IF(AD25=21,J25,0)</f>
        <v>0</v>
      </c>
      <c r="AD25" s="65">
        <v>15</v>
      </c>
      <c r="AE25" s="65">
        <f>G25*0.392890442890443</f>
        <v>0</v>
      </c>
      <c r="AF25" s="65">
        <f>G25*(1-0.392890442890443)</f>
        <v>0</v>
      </c>
      <c r="AG25" s="60" t="s">
        <v>7</v>
      </c>
      <c r="AM25" s="65">
        <f>F25*AE25</f>
        <v>0</v>
      </c>
      <c r="AN25" s="65">
        <f>F25*AF25</f>
        <v>0</v>
      </c>
      <c r="AO25" s="66" t="s">
        <v>213</v>
      </c>
      <c r="AP25" s="66" t="s">
        <v>223</v>
      </c>
      <c r="AQ25" s="54" t="s">
        <v>226</v>
      </c>
      <c r="AS25" s="65">
        <f>AM25+AN25</f>
        <v>0</v>
      </c>
      <c r="AT25" s="65">
        <f>G25/(100-AU25)*100</f>
        <v>0</v>
      </c>
      <c r="AU25" s="65">
        <v>0</v>
      </c>
      <c r="AV25" s="65">
        <f>L25</f>
        <v>0.3522552</v>
      </c>
    </row>
    <row r="26" spans="1:37" ht="12.75">
      <c r="A26" s="11"/>
      <c r="B26" s="24"/>
      <c r="C26" s="24" t="s">
        <v>58</v>
      </c>
      <c r="D26" s="24" t="s">
        <v>113</v>
      </c>
      <c r="E26" s="35"/>
      <c r="F26" s="35"/>
      <c r="G26" s="35"/>
      <c r="H26" s="68">
        <f>SUM(H27:H30)</f>
        <v>0</v>
      </c>
      <c r="I26" s="68">
        <f>SUM(I27:I30)</f>
        <v>0</v>
      </c>
      <c r="J26" s="68">
        <f>H26+I26</f>
        <v>0</v>
      </c>
      <c r="K26" s="54"/>
      <c r="L26" s="68">
        <f>SUM(L27:L30)</f>
        <v>0.128612</v>
      </c>
      <c r="M26" s="54"/>
      <c r="Y26" s="54"/>
      <c r="AI26" s="68">
        <f>SUM(Z27:Z30)</f>
        <v>0</v>
      </c>
      <c r="AJ26" s="68">
        <f>SUM(AA27:AA30)</f>
        <v>0</v>
      </c>
      <c r="AK26" s="68">
        <f>SUM(AB27:AB30)</f>
        <v>0</v>
      </c>
    </row>
    <row r="27" spans="1:48" ht="12.75">
      <c r="A27" s="10" t="s">
        <v>14</v>
      </c>
      <c r="B27" s="10"/>
      <c r="C27" s="10" t="s">
        <v>59</v>
      </c>
      <c r="D27" s="10" t="s">
        <v>114</v>
      </c>
      <c r="E27" s="10" t="s">
        <v>181</v>
      </c>
      <c r="F27" s="37">
        <v>3215.3</v>
      </c>
      <c r="G27" s="37">
        <v>0</v>
      </c>
      <c r="H27" s="37">
        <f>F27*AE27</f>
        <v>0</v>
      </c>
      <c r="I27" s="37">
        <f>J27-H27</f>
        <v>0</v>
      </c>
      <c r="J27" s="37">
        <f>F27*G27</f>
        <v>0</v>
      </c>
      <c r="K27" s="37">
        <v>4E-05</v>
      </c>
      <c r="L27" s="37">
        <f>F27*K27</f>
        <v>0.128612</v>
      </c>
      <c r="M27" s="60" t="s">
        <v>201</v>
      </c>
      <c r="P27" s="65">
        <f>IF(AG27="5",J27,0)</f>
        <v>0</v>
      </c>
      <c r="R27" s="65">
        <f>IF(AG27="1",H27,0)</f>
        <v>0</v>
      </c>
      <c r="S27" s="65">
        <f>IF(AG27="1",I27,0)</f>
        <v>0</v>
      </c>
      <c r="T27" s="65">
        <f>IF(AG27="7",H27,0)</f>
        <v>0</v>
      </c>
      <c r="U27" s="65">
        <f>IF(AG27="7",I27,0)</f>
        <v>0</v>
      </c>
      <c r="V27" s="65">
        <f>IF(AG27="2",H27,0)</f>
        <v>0</v>
      </c>
      <c r="W27" s="65">
        <f>IF(AG27="2",I27,0)</f>
        <v>0</v>
      </c>
      <c r="X27" s="65">
        <f>IF(AG27="0",J27,0)</f>
        <v>0</v>
      </c>
      <c r="Y27" s="54"/>
      <c r="Z27" s="37">
        <f>IF(AD27=0,J27,0)</f>
        <v>0</v>
      </c>
      <c r="AA27" s="37">
        <f>IF(AD27=15,J27,0)</f>
        <v>0</v>
      </c>
      <c r="AB27" s="37">
        <f>IF(AD27=21,J27,0)</f>
        <v>0</v>
      </c>
      <c r="AD27" s="65">
        <v>15</v>
      </c>
      <c r="AE27" s="65">
        <f>G27*0.0144153225806452</f>
        <v>0</v>
      </c>
      <c r="AF27" s="65">
        <f>G27*(1-0.0144153225806452)</f>
        <v>0</v>
      </c>
      <c r="AG27" s="60" t="s">
        <v>7</v>
      </c>
      <c r="AM27" s="65">
        <f>F27*AE27</f>
        <v>0</v>
      </c>
      <c r="AN27" s="65">
        <f>F27*AF27</f>
        <v>0</v>
      </c>
      <c r="AO27" s="66" t="s">
        <v>214</v>
      </c>
      <c r="AP27" s="66" t="s">
        <v>223</v>
      </c>
      <c r="AQ27" s="54" t="s">
        <v>226</v>
      </c>
      <c r="AS27" s="65">
        <f>AM27+AN27</f>
        <v>0</v>
      </c>
      <c r="AT27" s="65">
        <f>G27/(100-AU27)*100</f>
        <v>0</v>
      </c>
      <c r="AU27" s="65">
        <v>0</v>
      </c>
      <c r="AV27" s="65">
        <f>L27</f>
        <v>0.128612</v>
      </c>
    </row>
    <row r="28" spans="4:6" ht="12.75">
      <c r="D28" s="30" t="s">
        <v>115</v>
      </c>
      <c r="F28" s="38">
        <v>659.24</v>
      </c>
    </row>
    <row r="29" spans="4:6" ht="12.75">
      <c r="D29" s="30" t="s">
        <v>116</v>
      </c>
      <c r="F29" s="38">
        <v>2556.06</v>
      </c>
    </row>
    <row r="30" spans="1:48" ht="12.75">
      <c r="A30" s="10" t="s">
        <v>15</v>
      </c>
      <c r="B30" s="10"/>
      <c r="C30" s="10" t="s">
        <v>60</v>
      </c>
      <c r="D30" s="10" t="s">
        <v>117</v>
      </c>
      <c r="E30" s="10" t="s">
        <v>182</v>
      </c>
      <c r="F30" s="37">
        <v>11.58531</v>
      </c>
      <c r="G30" s="37">
        <v>0</v>
      </c>
      <c r="H30" s="37">
        <f>F30*AE30</f>
        <v>0</v>
      </c>
      <c r="I30" s="37">
        <f>J30-H30</f>
        <v>0</v>
      </c>
      <c r="J30" s="37">
        <f>F30*G30</f>
        <v>0</v>
      </c>
      <c r="K30" s="37">
        <v>0</v>
      </c>
      <c r="L30" s="37">
        <f>F30*K30</f>
        <v>0</v>
      </c>
      <c r="M30" s="60" t="s">
        <v>201</v>
      </c>
      <c r="P30" s="65">
        <f>IF(AG30="5",J30,0)</f>
        <v>0</v>
      </c>
      <c r="R30" s="65">
        <f>IF(AG30="1",H30,0)</f>
        <v>0</v>
      </c>
      <c r="S30" s="65">
        <f>IF(AG30="1",I30,0)</f>
        <v>0</v>
      </c>
      <c r="T30" s="65">
        <f>IF(AG30="7",H30,0)</f>
        <v>0</v>
      </c>
      <c r="U30" s="65">
        <f>IF(AG30="7",I30,0)</f>
        <v>0</v>
      </c>
      <c r="V30" s="65">
        <f>IF(AG30="2",H30,0)</f>
        <v>0</v>
      </c>
      <c r="W30" s="65">
        <f>IF(AG30="2",I30,0)</f>
        <v>0</v>
      </c>
      <c r="X30" s="65">
        <f>IF(AG30="0",J30,0)</f>
        <v>0</v>
      </c>
      <c r="Y30" s="54"/>
      <c r="Z30" s="37">
        <f>IF(AD30=0,J30,0)</f>
        <v>0</v>
      </c>
      <c r="AA30" s="37">
        <f>IF(AD30=15,J30,0)</f>
        <v>0</v>
      </c>
      <c r="AB30" s="37">
        <f>IF(AD30=21,J30,0)</f>
        <v>0</v>
      </c>
      <c r="AD30" s="65">
        <v>15</v>
      </c>
      <c r="AE30" s="65">
        <f>G30*0</f>
        <v>0</v>
      </c>
      <c r="AF30" s="65">
        <f>G30*(1-0)</f>
        <v>0</v>
      </c>
      <c r="AG30" s="60" t="s">
        <v>11</v>
      </c>
      <c r="AM30" s="65">
        <f>F30*AE30</f>
        <v>0</v>
      </c>
      <c r="AN30" s="65">
        <f>F30*AF30</f>
        <v>0</v>
      </c>
      <c r="AO30" s="66" t="s">
        <v>214</v>
      </c>
      <c r="AP30" s="66" t="s">
        <v>223</v>
      </c>
      <c r="AQ30" s="54" t="s">
        <v>226</v>
      </c>
      <c r="AS30" s="65">
        <f>AM30+AN30</f>
        <v>0</v>
      </c>
      <c r="AT30" s="65">
        <f>G30/(100-AU30)*100</f>
        <v>0</v>
      </c>
      <c r="AU30" s="65">
        <v>0</v>
      </c>
      <c r="AV30" s="65">
        <f>L30</f>
        <v>0</v>
      </c>
    </row>
    <row r="31" spans="1:37" ht="12.75">
      <c r="A31" s="11"/>
      <c r="B31" s="24"/>
      <c r="C31" s="24" t="s">
        <v>61</v>
      </c>
      <c r="D31" s="24" t="s">
        <v>118</v>
      </c>
      <c r="E31" s="35"/>
      <c r="F31" s="35"/>
      <c r="G31" s="35"/>
      <c r="H31" s="68">
        <f>SUM(H32:H39)</f>
        <v>0</v>
      </c>
      <c r="I31" s="68">
        <f>SUM(I32:I39)</f>
        <v>0</v>
      </c>
      <c r="J31" s="68">
        <f>H31+I31</f>
        <v>0</v>
      </c>
      <c r="K31" s="54"/>
      <c r="L31" s="68">
        <f>SUM(L32:L39)</f>
        <v>20.5523959</v>
      </c>
      <c r="M31" s="54"/>
      <c r="Y31" s="54"/>
      <c r="AI31" s="68">
        <f>SUM(Z32:Z39)</f>
        <v>0</v>
      </c>
      <c r="AJ31" s="68">
        <f>SUM(AA32:AA39)</f>
        <v>0</v>
      </c>
      <c r="AK31" s="68">
        <f>SUM(AB32:AB39)</f>
        <v>0</v>
      </c>
    </row>
    <row r="32" spans="1:48" ht="12.75">
      <c r="A32" s="10" t="s">
        <v>16</v>
      </c>
      <c r="B32" s="10"/>
      <c r="C32" s="10" t="s">
        <v>62</v>
      </c>
      <c r="D32" s="10" t="s">
        <v>119</v>
      </c>
      <c r="E32" s="10" t="s">
        <v>183</v>
      </c>
      <c r="F32" s="37">
        <v>303</v>
      </c>
      <c r="G32" s="37">
        <v>0</v>
      </c>
      <c r="H32" s="37">
        <f>F32*AE32</f>
        <v>0</v>
      </c>
      <c r="I32" s="37">
        <f>J32-H32</f>
        <v>0</v>
      </c>
      <c r="J32" s="37">
        <f>F32*G32</f>
        <v>0</v>
      </c>
      <c r="K32" s="37">
        <v>0</v>
      </c>
      <c r="L32" s="37">
        <f>F32*K32</f>
        <v>0</v>
      </c>
      <c r="M32" s="60" t="s">
        <v>201</v>
      </c>
      <c r="P32" s="65">
        <f>IF(AG32="5",J32,0)</f>
        <v>0</v>
      </c>
      <c r="R32" s="65">
        <f>IF(AG32="1",H32,0)</f>
        <v>0</v>
      </c>
      <c r="S32" s="65">
        <f>IF(AG32="1",I32,0)</f>
        <v>0</v>
      </c>
      <c r="T32" s="65">
        <f>IF(AG32="7",H32,0)</f>
        <v>0</v>
      </c>
      <c r="U32" s="65">
        <f>IF(AG32="7",I32,0)</f>
        <v>0</v>
      </c>
      <c r="V32" s="65">
        <f>IF(AG32="2",H32,0)</f>
        <v>0</v>
      </c>
      <c r="W32" s="65">
        <f>IF(AG32="2",I32,0)</f>
        <v>0</v>
      </c>
      <c r="X32" s="65">
        <f>IF(AG32="0",J32,0)</f>
        <v>0</v>
      </c>
      <c r="Y32" s="54"/>
      <c r="Z32" s="37">
        <f>IF(AD32=0,J32,0)</f>
        <v>0</v>
      </c>
      <c r="AA32" s="37">
        <f>IF(AD32=15,J32,0)</f>
        <v>0</v>
      </c>
      <c r="AB32" s="37">
        <f>IF(AD32=21,J32,0)</f>
        <v>0</v>
      </c>
      <c r="AD32" s="65">
        <v>15</v>
      </c>
      <c r="AE32" s="65">
        <f>G32*0</f>
        <v>0</v>
      </c>
      <c r="AF32" s="65">
        <f>G32*(1-0)</f>
        <v>0</v>
      </c>
      <c r="AG32" s="60" t="s">
        <v>7</v>
      </c>
      <c r="AM32" s="65">
        <f>F32*AE32</f>
        <v>0</v>
      </c>
      <c r="AN32" s="65">
        <f>F32*AF32</f>
        <v>0</v>
      </c>
      <c r="AO32" s="66" t="s">
        <v>215</v>
      </c>
      <c r="AP32" s="66" t="s">
        <v>223</v>
      </c>
      <c r="AQ32" s="54" t="s">
        <v>226</v>
      </c>
      <c r="AS32" s="65">
        <f>AM32+AN32</f>
        <v>0</v>
      </c>
      <c r="AT32" s="65">
        <f>G32/(100-AU32)*100</f>
        <v>0</v>
      </c>
      <c r="AU32" s="65">
        <v>0</v>
      </c>
      <c r="AV32" s="65">
        <f>L32</f>
        <v>0</v>
      </c>
    </row>
    <row r="33" spans="1:48" ht="12.75">
      <c r="A33" s="10" t="s">
        <v>17</v>
      </c>
      <c r="B33" s="10"/>
      <c r="C33" s="10" t="s">
        <v>63</v>
      </c>
      <c r="D33" s="10" t="s">
        <v>120</v>
      </c>
      <c r="E33" s="10" t="s">
        <v>181</v>
      </c>
      <c r="F33" s="37">
        <v>7.12</v>
      </c>
      <c r="G33" s="37">
        <v>0</v>
      </c>
      <c r="H33" s="37">
        <f>F33*AE33</f>
        <v>0</v>
      </c>
      <c r="I33" s="37">
        <f>J33-H33</f>
        <v>0</v>
      </c>
      <c r="J33" s="37">
        <f>F33*G33</f>
        <v>0</v>
      </c>
      <c r="K33" s="37">
        <v>0.07719</v>
      </c>
      <c r="L33" s="37">
        <f>F33*K33</f>
        <v>0.5495928</v>
      </c>
      <c r="M33" s="60" t="s">
        <v>201</v>
      </c>
      <c r="P33" s="65">
        <f>IF(AG33="5",J33,0)</f>
        <v>0</v>
      </c>
      <c r="R33" s="65">
        <f>IF(AG33="1",H33,0)</f>
        <v>0</v>
      </c>
      <c r="S33" s="65">
        <f>IF(AG33="1",I33,0)</f>
        <v>0</v>
      </c>
      <c r="T33" s="65">
        <f>IF(AG33="7",H33,0)</f>
        <v>0</v>
      </c>
      <c r="U33" s="65">
        <f>IF(AG33="7",I33,0)</f>
        <v>0</v>
      </c>
      <c r="V33" s="65">
        <f>IF(AG33="2",H33,0)</f>
        <v>0</v>
      </c>
      <c r="W33" s="65">
        <f>IF(AG33="2",I33,0)</f>
        <v>0</v>
      </c>
      <c r="X33" s="65">
        <f>IF(AG33="0",J33,0)</f>
        <v>0</v>
      </c>
      <c r="Y33" s="54"/>
      <c r="Z33" s="37">
        <f>IF(AD33=0,J33,0)</f>
        <v>0</v>
      </c>
      <c r="AA33" s="37">
        <f>IF(AD33=15,J33,0)</f>
        <v>0</v>
      </c>
      <c r="AB33" s="37">
        <f>IF(AD33=21,J33,0)</f>
        <v>0</v>
      </c>
      <c r="AD33" s="65">
        <v>15</v>
      </c>
      <c r="AE33" s="65">
        <f>G33*0.16948602227345</f>
        <v>0</v>
      </c>
      <c r="AF33" s="65">
        <f>G33*(1-0.16948602227345)</f>
        <v>0</v>
      </c>
      <c r="AG33" s="60" t="s">
        <v>7</v>
      </c>
      <c r="AM33" s="65">
        <f>F33*AE33</f>
        <v>0</v>
      </c>
      <c r="AN33" s="65">
        <f>F33*AF33</f>
        <v>0</v>
      </c>
      <c r="AO33" s="66" t="s">
        <v>215</v>
      </c>
      <c r="AP33" s="66" t="s">
        <v>223</v>
      </c>
      <c r="AQ33" s="54" t="s">
        <v>226</v>
      </c>
      <c r="AS33" s="65">
        <f>AM33+AN33</f>
        <v>0</v>
      </c>
      <c r="AT33" s="65">
        <f>G33/(100-AU33)*100</f>
        <v>0</v>
      </c>
      <c r="AU33" s="65">
        <v>0</v>
      </c>
      <c r="AV33" s="65">
        <f>L33</f>
        <v>0.5495928</v>
      </c>
    </row>
    <row r="34" spans="1:48" ht="12.75">
      <c r="A34" s="10" t="s">
        <v>18</v>
      </c>
      <c r="B34" s="10"/>
      <c r="C34" s="10" t="s">
        <v>64</v>
      </c>
      <c r="D34" s="10" t="s">
        <v>121</v>
      </c>
      <c r="E34" s="10" t="s">
        <v>181</v>
      </c>
      <c r="F34" s="37">
        <v>15.06</v>
      </c>
      <c r="G34" s="37">
        <v>0</v>
      </c>
      <c r="H34" s="37">
        <f>F34*AE34</f>
        <v>0</v>
      </c>
      <c r="I34" s="37">
        <f>J34-H34</f>
        <v>0</v>
      </c>
      <c r="J34" s="37">
        <f>F34*G34</f>
        <v>0</v>
      </c>
      <c r="K34" s="37">
        <v>0.063</v>
      </c>
      <c r="L34" s="37">
        <f>F34*K34</f>
        <v>0.9487800000000001</v>
      </c>
      <c r="M34" s="60" t="s">
        <v>201</v>
      </c>
      <c r="P34" s="65">
        <f>IF(AG34="5",J34,0)</f>
        <v>0</v>
      </c>
      <c r="R34" s="65">
        <f>IF(AG34="1",H34,0)</f>
        <v>0</v>
      </c>
      <c r="S34" s="65">
        <f>IF(AG34="1",I34,0)</f>
        <v>0</v>
      </c>
      <c r="T34" s="65">
        <f>IF(AG34="7",H34,0)</f>
        <v>0</v>
      </c>
      <c r="U34" s="65">
        <f>IF(AG34="7",I34,0)</f>
        <v>0</v>
      </c>
      <c r="V34" s="65">
        <f>IF(AG34="2",H34,0)</f>
        <v>0</v>
      </c>
      <c r="W34" s="65">
        <f>IF(AG34="2",I34,0)</f>
        <v>0</v>
      </c>
      <c r="X34" s="65">
        <f>IF(AG34="0",J34,0)</f>
        <v>0</v>
      </c>
      <c r="Y34" s="54"/>
      <c r="Z34" s="37">
        <f>IF(AD34=0,J34,0)</f>
        <v>0</v>
      </c>
      <c r="AA34" s="37">
        <f>IF(AD34=15,J34,0)</f>
        <v>0</v>
      </c>
      <c r="AB34" s="37">
        <f>IF(AD34=21,J34,0)</f>
        <v>0</v>
      </c>
      <c r="AD34" s="65">
        <v>15</v>
      </c>
      <c r="AE34" s="65">
        <f>G34*0.12766071524315</f>
        <v>0</v>
      </c>
      <c r="AF34" s="65">
        <f>G34*(1-0.12766071524315)</f>
        <v>0</v>
      </c>
      <c r="AG34" s="60" t="s">
        <v>7</v>
      </c>
      <c r="AM34" s="65">
        <f>F34*AE34</f>
        <v>0</v>
      </c>
      <c r="AN34" s="65">
        <f>F34*AF34</f>
        <v>0</v>
      </c>
      <c r="AO34" s="66" t="s">
        <v>215</v>
      </c>
      <c r="AP34" s="66" t="s">
        <v>223</v>
      </c>
      <c r="AQ34" s="54" t="s">
        <v>226</v>
      </c>
      <c r="AS34" s="65">
        <f>AM34+AN34</f>
        <v>0</v>
      </c>
      <c r="AT34" s="65">
        <f>G34/(100-AU34)*100</f>
        <v>0</v>
      </c>
      <c r="AU34" s="65">
        <v>0</v>
      </c>
      <c r="AV34" s="65">
        <f>L34</f>
        <v>0.9487800000000001</v>
      </c>
    </row>
    <row r="35" spans="1:48" ht="12.75">
      <c r="A35" s="10" t="s">
        <v>19</v>
      </c>
      <c r="B35" s="10"/>
      <c r="C35" s="10" t="s">
        <v>65</v>
      </c>
      <c r="D35" s="10" t="s">
        <v>122</v>
      </c>
      <c r="E35" s="10" t="s">
        <v>181</v>
      </c>
      <c r="F35" s="37">
        <v>309.17</v>
      </c>
      <c r="G35" s="37">
        <v>0</v>
      </c>
      <c r="H35" s="37">
        <f>F35*AE35</f>
        <v>0</v>
      </c>
      <c r="I35" s="37">
        <f>J35-H35</f>
        <v>0</v>
      </c>
      <c r="J35" s="37">
        <f>F35*G35</f>
        <v>0</v>
      </c>
      <c r="K35" s="37">
        <v>0.05492</v>
      </c>
      <c r="L35" s="37">
        <f>F35*K35</f>
        <v>16.9796164</v>
      </c>
      <c r="M35" s="60" t="s">
        <v>201</v>
      </c>
      <c r="P35" s="65">
        <f>IF(AG35="5",J35,0)</f>
        <v>0</v>
      </c>
      <c r="R35" s="65">
        <f>IF(AG35="1",H35,0)</f>
        <v>0</v>
      </c>
      <c r="S35" s="65">
        <f>IF(AG35="1",I35,0)</f>
        <v>0</v>
      </c>
      <c r="T35" s="65">
        <f>IF(AG35="7",H35,0)</f>
        <v>0</v>
      </c>
      <c r="U35" s="65">
        <f>IF(AG35="7",I35,0)</f>
        <v>0</v>
      </c>
      <c r="V35" s="65">
        <f>IF(AG35="2",H35,0)</f>
        <v>0</v>
      </c>
      <c r="W35" s="65">
        <f>IF(AG35="2",I35,0)</f>
        <v>0</v>
      </c>
      <c r="X35" s="65">
        <f>IF(AG35="0",J35,0)</f>
        <v>0</v>
      </c>
      <c r="Y35" s="54"/>
      <c r="Z35" s="37">
        <f>IF(AD35=0,J35,0)</f>
        <v>0</v>
      </c>
      <c r="AA35" s="37">
        <f>IF(AD35=15,J35,0)</f>
        <v>0</v>
      </c>
      <c r="AB35" s="37">
        <f>IF(AD35=21,J35,0)</f>
        <v>0</v>
      </c>
      <c r="AD35" s="65">
        <v>15</v>
      </c>
      <c r="AE35" s="65">
        <f>G35*0.15</f>
        <v>0</v>
      </c>
      <c r="AF35" s="65">
        <f>G35*(1-0.15)</f>
        <v>0</v>
      </c>
      <c r="AG35" s="60" t="s">
        <v>7</v>
      </c>
      <c r="AM35" s="65">
        <f>F35*AE35</f>
        <v>0</v>
      </c>
      <c r="AN35" s="65">
        <f>F35*AF35</f>
        <v>0</v>
      </c>
      <c r="AO35" s="66" t="s">
        <v>215</v>
      </c>
      <c r="AP35" s="66" t="s">
        <v>223</v>
      </c>
      <c r="AQ35" s="54" t="s">
        <v>226</v>
      </c>
      <c r="AS35" s="65">
        <f>AM35+AN35</f>
        <v>0</v>
      </c>
      <c r="AT35" s="65">
        <f>G35/(100-AU35)*100</f>
        <v>0</v>
      </c>
      <c r="AU35" s="65">
        <v>0</v>
      </c>
      <c r="AV35" s="65">
        <f>L35</f>
        <v>16.9796164</v>
      </c>
    </row>
    <row r="36" spans="1:48" ht="12.75">
      <c r="A36" s="10" t="s">
        <v>20</v>
      </c>
      <c r="B36" s="10"/>
      <c r="C36" s="10" t="s">
        <v>66</v>
      </c>
      <c r="D36" s="10" t="s">
        <v>123</v>
      </c>
      <c r="E36" s="10" t="s">
        <v>180</v>
      </c>
      <c r="F36" s="37">
        <v>0.89</v>
      </c>
      <c r="G36" s="37">
        <v>0</v>
      </c>
      <c r="H36" s="37">
        <f>F36*AE36</f>
        <v>0</v>
      </c>
      <c r="I36" s="37">
        <f>J36-H36</f>
        <v>0</v>
      </c>
      <c r="J36" s="37">
        <f>F36*G36</f>
        <v>0</v>
      </c>
      <c r="K36" s="37">
        <v>0.01113</v>
      </c>
      <c r="L36" s="37">
        <f>F36*K36</f>
        <v>0.0099057</v>
      </c>
      <c r="M36" s="60" t="s">
        <v>201</v>
      </c>
      <c r="P36" s="65">
        <f>IF(AG36="5",J36,0)</f>
        <v>0</v>
      </c>
      <c r="R36" s="65">
        <f>IF(AG36="1",H36,0)</f>
        <v>0</v>
      </c>
      <c r="S36" s="65">
        <f>IF(AG36="1",I36,0)</f>
        <v>0</v>
      </c>
      <c r="T36" s="65">
        <f>IF(AG36="7",H36,0)</f>
        <v>0</v>
      </c>
      <c r="U36" s="65">
        <f>IF(AG36="7",I36,0)</f>
        <v>0</v>
      </c>
      <c r="V36" s="65">
        <f>IF(AG36="2",H36,0)</f>
        <v>0</v>
      </c>
      <c r="W36" s="65">
        <f>IF(AG36="2",I36,0)</f>
        <v>0</v>
      </c>
      <c r="X36" s="65">
        <f>IF(AG36="0",J36,0)</f>
        <v>0</v>
      </c>
      <c r="Y36" s="54"/>
      <c r="Z36" s="37">
        <f>IF(AD36=0,J36,0)</f>
        <v>0</v>
      </c>
      <c r="AA36" s="37">
        <f>IF(AD36=15,J36,0)</f>
        <v>0</v>
      </c>
      <c r="AB36" s="37">
        <f>IF(AD36=21,J36,0)</f>
        <v>0</v>
      </c>
      <c r="AD36" s="65">
        <v>15</v>
      </c>
      <c r="AE36" s="65">
        <f>G36*0</f>
        <v>0</v>
      </c>
      <c r="AF36" s="65">
        <f>G36*(1-0)</f>
        <v>0</v>
      </c>
      <c r="AG36" s="60" t="s">
        <v>7</v>
      </c>
      <c r="AM36" s="65">
        <f>F36*AE36</f>
        <v>0</v>
      </c>
      <c r="AN36" s="65">
        <f>F36*AF36</f>
        <v>0</v>
      </c>
      <c r="AO36" s="66" t="s">
        <v>215</v>
      </c>
      <c r="AP36" s="66" t="s">
        <v>223</v>
      </c>
      <c r="AQ36" s="54" t="s">
        <v>226</v>
      </c>
      <c r="AS36" s="65">
        <f>AM36+AN36</f>
        <v>0</v>
      </c>
      <c r="AT36" s="65">
        <f>G36/(100-AU36)*100</f>
        <v>0</v>
      </c>
      <c r="AU36" s="65">
        <v>0</v>
      </c>
      <c r="AV36" s="65">
        <f>L36</f>
        <v>0.0099057</v>
      </c>
    </row>
    <row r="37" spans="1:48" ht="12.75">
      <c r="A37" s="10" t="s">
        <v>21</v>
      </c>
      <c r="B37" s="10"/>
      <c r="C37" s="10" t="s">
        <v>67</v>
      </c>
      <c r="D37" s="10" t="s">
        <v>124</v>
      </c>
      <c r="E37" s="10" t="s">
        <v>180</v>
      </c>
      <c r="F37" s="37">
        <v>133.3</v>
      </c>
      <c r="G37" s="37">
        <v>0</v>
      </c>
      <c r="H37" s="37">
        <f>F37*AE37</f>
        <v>0</v>
      </c>
      <c r="I37" s="37">
        <f>J37-H37</f>
        <v>0</v>
      </c>
      <c r="J37" s="37">
        <f>F37*G37</f>
        <v>0</v>
      </c>
      <c r="K37" s="37">
        <v>0.01507</v>
      </c>
      <c r="L37" s="37">
        <f>F37*K37</f>
        <v>2.0088310000000003</v>
      </c>
      <c r="M37" s="60" t="s">
        <v>201</v>
      </c>
      <c r="P37" s="65">
        <f>IF(AG37="5",J37,0)</f>
        <v>0</v>
      </c>
      <c r="R37" s="65">
        <f>IF(AG37="1",H37,0)</f>
        <v>0</v>
      </c>
      <c r="S37" s="65">
        <f>IF(AG37="1",I37,0)</f>
        <v>0</v>
      </c>
      <c r="T37" s="65">
        <f>IF(AG37="7",H37,0)</f>
        <v>0</v>
      </c>
      <c r="U37" s="65">
        <f>IF(AG37="7",I37,0)</f>
        <v>0</v>
      </c>
      <c r="V37" s="65">
        <f>IF(AG37="2",H37,0)</f>
        <v>0</v>
      </c>
      <c r="W37" s="65">
        <f>IF(AG37="2",I37,0)</f>
        <v>0</v>
      </c>
      <c r="X37" s="65">
        <f>IF(AG37="0",J37,0)</f>
        <v>0</v>
      </c>
      <c r="Y37" s="54"/>
      <c r="Z37" s="37">
        <f>IF(AD37=0,J37,0)</f>
        <v>0</v>
      </c>
      <c r="AA37" s="37">
        <f>IF(AD37=15,J37,0)</f>
        <v>0</v>
      </c>
      <c r="AB37" s="37">
        <f>IF(AD37=21,J37,0)</f>
        <v>0</v>
      </c>
      <c r="AD37" s="65">
        <v>15</v>
      </c>
      <c r="AE37" s="65">
        <f>G37*0</f>
        <v>0</v>
      </c>
      <c r="AF37" s="65">
        <f>G37*(1-0)</f>
        <v>0</v>
      </c>
      <c r="AG37" s="60" t="s">
        <v>7</v>
      </c>
      <c r="AM37" s="65">
        <f>F37*AE37</f>
        <v>0</v>
      </c>
      <c r="AN37" s="65">
        <f>F37*AF37</f>
        <v>0</v>
      </c>
      <c r="AO37" s="66" t="s">
        <v>215</v>
      </c>
      <c r="AP37" s="66" t="s">
        <v>223</v>
      </c>
      <c r="AQ37" s="54" t="s">
        <v>226</v>
      </c>
      <c r="AS37" s="65">
        <f>AM37+AN37</f>
        <v>0</v>
      </c>
      <c r="AT37" s="65">
        <f>G37/(100-AU37)*100</f>
        <v>0</v>
      </c>
      <c r="AU37" s="65">
        <v>0</v>
      </c>
      <c r="AV37" s="65">
        <f>L37</f>
        <v>2.0088310000000003</v>
      </c>
    </row>
    <row r="38" spans="4:6" ht="12.75">
      <c r="D38" s="30" t="s">
        <v>125</v>
      </c>
      <c r="F38" s="38">
        <v>133.3</v>
      </c>
    </row>
    <row r="39" spans="1:48" ht="12.75">
      <c r="A39" s="10" t="s">
        <v>22</v>
      </c>
      <c r="B39" s="10"/>
      <c r="C39" s="10" t="s">
        <v>68</v>
      </c>
      <c r="D39" s="10" t="s">
        <v>126</v>
      </c>
      <c r="E39" s="10" t="s">
        <v>181</v>
      </c>
      <c r="F39" s="37">
        <v>1</v>
      </c>
      <c r="G39" s="37">
        <v>0</v>
      </c>
      <c r="H39" s="37">
        <f>F39*AE39</f>
        <v>0</v>
      </c>
      <c r="I39" s="37">
        <f>J39-H39</f>
        <v>0</v>
      </c>
      <c r="J39" s="37">
        <f>F39*G39</f>
        <v>0</v>
      </c>
      <c r="K39" s="37">
        <v>0.05567</v>
      </c>
      <c r="L39" s="37">
        <f>F39*K39</f>
        <v>0.05567</v>
      </c>
      <c r="M39" s="60" t="s">
        <v>201</v>
      </c>
      <c r="P39" s="65">
        <f>IF(AG39="5",J39,0)</f>
        <v>0</v>
      </c>
      <c r="R39" s="65">
        <f>IF(AG39="1",H39,0)</f>
        <v>0</v>
      </c>
      <c r="S39" s="65">
        <f>IF(AG39="1",I39,0)</f>
        <v>0</v>
      </c>
      <c r="T39" s="65">
        <f>IF(AG39="7",H39,0)</f>
        <v>0</v>
      </c>
      <c r="U39" s="65">
        <f>IF(AG39="7",I39,0)</f>
        <v>0</v>
      </c>
      <c r="V39" s="65">
        <f>IF(AG39="2",H39,0)</f>
        <v>0</v>
      </c>
      <c r="W39" s="65">
        <f>IF(AG39="2",I39,0)</f>
        <v>0</v>
      </c>
      <c r="X39" s="65">
        <f>IF(AG39="0",J39,0)</f>
        <v>0</v>
      </c>
      <c r="Y39" s="54"/>
      <c r="Z39" s="37">
        <f>IF(AD39=0,J39,0)</f>
        <v>0</v>
      </c>
      <c r="AA39" s="37">
        <f>IF(AD39=15,J39,0)</f>
        <v>0</v>
      </c>
      <c r="AB39" s="37">
        <f>IF(AD39=21,J39,0)</f>
        <v>0</v>
      </c>
      <c r="AD39" s="65">
        <v>15</v>
      </c>
      <c r="AE39" s="65">
        <f>G39*0.134797038549911</f>
        <v>0</v>
      </c>
      <c r="AF39" s="65">
        <f>G39*(1-0.134797038549911)</f>
        <v>0</v>
      </c>
      <c r="AG39" s="60" t="s">
        <v>7</v>
      </c>
      <c r="AM39" s="65">
        <f>F39*AE39</f>
        <v>0</v>
      </c>
      <c r="AN39" s="65">
        <f>F39*AF39</f>
        <v>0</v>
      </c>
      <c r="AO39" s="66" t="s">
        <v>215</v>
      </c>
      <c r="AP39" s="66" t="s">
        <v>223</v>
      </c>
      <c r="AQ39" s="54" t="s">
        <v>226</v>
      </c>
      <c r="AS39" s="65">
        <f>AM39+AN39</f>
        <v>0</v>
      </c>
      <c r="AT39" s="65">
        <f>G39/(100-AU39)*100</f>
        <v>0</v>
      </c>
      <c r="AU39" s="65">
        <v>0</v>
      </c>
      <c r="AV39" s="65">
        <f>L39</f>
        <v>0.05567</v>
      </c>
    </row>
    <row r="40" spans="1:37" ht="12.75">
      <c r="A40" s="11"/>
      <c r="B40" s="24"/>
      <c r="C40" s="24" t="s">
        <v>69</v>
      </c>
      <c r="D40" s="24" t="s">
        <v>127</v>
      </c>
      <c r="E40" s="35"/>
      <c r="F40" s="35"/>
      <c r="G40" s="35"/>
      <c r="H40" s="68">
        <f>SUM(H41:H41)</f>
        <v>0</v>
      </c>
      <c r="I40" s="68">
        <f>SUM(I41:I41)</f>
        <v>0</v>
      </c>
      <c r="J40" s="68">
        <f>H40+I40</f>
        <v>0</v>
      </c>
      <c r="K40" s="54"/>
      <c r="L40" s="68">
        <f>SUM(L41:L41)</f>
        <v>6.88298</v>
      </c>
      <c r="M40" s="54"/>
      <c r="Y40" s="54"/>
      <c r="AI40" s="68">
        <f>SUM(Z41:Z41)</f>
        <v>0</v>
      </c>
      <c r="AJ40" s="68">
        <f>SUM(AA41:AA41)</f>
        <v>0</v>
      </c>
      <c r="AK40" s="68">
        <f>SUM(AB41:AB41)</f>
        <v>0</v>
      </c>
    </row>
    <row r="41" spans="1:48" ht="12.75">
      <c r="A41" s="10" t="s">
        <v>23</v>
      </c>
      <c r="B41" s="10"/>
      <c r="C41" s="10" t="s">
        <v>70</v>
      </c>
      <c r="D41" s="10" t="s">
        <v>128</v>
      </c>
      <c r="E41" s="10" t="s">
        <v>181</v>
      </c>
      <c r="F41" s="37">
        <v>149.63</v>
      </c>
      <c r="G41" s="37">
        <v>0</v>
      </c>
      <c r="H41" s="37">
        <f>F41*AE41</f>
        <v>0</v>
      </c>
      <c r="I41" s="37">
        <f>J41-H41</f>
        <v>0</v>
      </c>
      <c r="J41" s="37">
        <f>F41*G41</f>
        <v>0</v>
      </c>
      <c r="K41" s="37">
        <v>0.046</v>
      </c>
      <c r="L41" s="37">
        <f>F41*K41</f>
        <v>6.88298</v>
      </c>
      <c r="M41" s="60" t="s">
        <v>201</v>
      </c>
      <c r="P41" s="65">
        <f>IF(AG41="5",J41,0)</f>
        <v>0</v>
      </c>
      <c r="R41" s="65">
        <f>IF(AG41="1",H41,0)</f>
        <v>0</v>
      </c>
      <c r="S41" s="65">
        <f>IF(AG41="1",I41,0)</f>
        <v>0</v>
      </c>
      <c r="T41" s="65">
        <f>IF(AG41="7",H41,0)</f>
        <v>0</v>
      </c>
      <c r="U41" s="65">
        <f>IF(AG41="7",I41,0)</f>
        <v>0</v>
      </c>
      <c r="V41" s="65">
        <f>IF(AG41="2",H41,0)</f>
        <v>0</v>
      </c>
      <c r="W41" s="65">
        <f>IF(AG41="2",I41,0)</f>
        <v>0</v>
      </c>
      <c r="X41" s="65">
        <f>IF(AG41="0",J41,0)</f>
        <v>0</v>
      </c>
      <c r="Y41" s="54"/>
      <c r="Z41" s="37">
        <f>IF(AD41=0,J41,0)</f>
        <v>0</v>
      </c>
      <c r="AA41" s="37">
        <f>IF(AD41=15,J41,0)</f>
        <v>0</v>
      </c>
      <c r="AB41" s="37">
        <f>IF(AD41=21,J41,0)</f>
        <v>0</v>
      </c>
      <c r="AD41" s="65">
        <v>15</v>
      </c>
      <c r="AE41" s="65">
        <f>G41*0</f>
        <v>0</v>
      </c>
      <c r="AF41" s="65">
        <f>G41*(1-0)</f>
        <v>0</v>
      </c>
      <c r="AG41" s="60" t="s">
        <v>7</v>
      </c>
      <c r="AM41" s="65">
        <f>F41*AE41</f>
        <v>0</v>
      </c>
      <c r="AN41" s="65">
        <f>F41*AF41</f>
        <v>0</v>
      </c>
      <c r="AO41" s="66" t="s">
        <v>216</v>
      </c>
      <c r="AP41" s="66" t="s">
        <v>223</v>
      </c>
      <c r="AQ41" s="54" t="s">
        <v>226</v>
      </c>
      <c r="AS41" s="65">
        <f>AM41+AN41</f>
        <v>0</v>
      </c>
      <c r="AT41" s="65">
        <f>G41/(100-AU41)*100</f>
        <v>0</v>
      </c>
      <c r="AU41" s="65">
        <v>0</v>
      </c>
      <c r="AV41" s="65">
        <f>L41</f>
        <v>6.88298</v>
      </c>
    </row>
    <row r="42" spans="3:13" ht="12.75">
      <c r="C42" s="25" t="s">
        <v>45</v>
      </c>
      <c r="D42" s="29" t="s">
        <v>129</v>
      </c>
      <c r="E42" s="34"/>
      <c r="F42" s="34"/>
      <c r="G42" s="34"/>
      <c r="H42" s="34"/>
      <c r="I42" s="34"/>
      <c r="J42" s="34"/>
      <c r="K42" s="34"/>
      <c r="L42" s="34"/>
      <c r="M42" s="34"/>
    </row>
    <row r="43" spans="1:37" ht="12.75">
      <c r="A43" s="11"/>
      <c r="B43" s="24"/>
      <c r="C43" s="24" t="s">
        <v>71</v>
      </c>
      <c r="D43" s="24" t="s">
        <v>130</v>
      </c>
      <c r="E43" s="35"/>
      <c r="F43" s="35"/>
      <c r="G43" s="35"/>
      <c r="H43" s="68">
        <f>SUM(H44:H56)</f>
        <v>0</v>
      </c>
      <c r="I43" s="68">
        <f>SUM(I44:I56)</f>
        <v>0</v>
      </c>
      <c r="J43" s="68">
        <f>H43+I43</f>
        <v>0</v>
      </c>
      <c r="K43" s="54"/>
      <c r="L43" s="68">
        <f>SUM(L44:L56)</f>
        <v>0</v>
      </c>
      <c r="M43" s="54"/>
      <c r="Y43" s="54"/>
      <c r="AI43" s="68">
        <f>SUM(Z44:Z56)</f>
        <v>0</v>
      </c>
      <c r="AJ43" s="68">
        <f>SUM(AA44:AA56)</f>
        <v>0</v>
      </c>
      <c r="AK43" s="68">
        <f>SUM(AB44:AB56)</f>
        <v>0</v>
      </c>
    </row>
    <row r="44" spans="1:48" ht="12.75">
      <c r="A44" s="10" t="s">
        <v>24</v>
      </c>
      <c r="B44" s="10"/>
      <c r="C44" s="10" t="s">
        <v>72</v>
      </c>
      <c r="D44" s="10" t="s">
        <v>131</v>
      </c>
      <c r="E44" s="10" t="s">
        <v>182</v>
      </c>
      <c r="F44" s="37">
        <v>27.48943</v>
      </c>
      <c r="G44" s="37">
        <v>0</v>
      </c>
      <c r="H44" s="37">
        <f>F44*AE44</f>
        <v>0</v>
      </c>
      <c r="I44" s="37">
        <f>J44-H44</f>
        <v>0</v>
      </c>
      <c r="J44" s="37">
        <f>F44*G44</f>
        <v>0</v>
      </c>
      <c r="K44" s="37">
        <v>0</v>
      </c>
      <c r="L44" s="37">
        <f>F44*K44</f>
        <v>0</v>
      </c>
      <c r="M44" s="60" t="s">
        <v>201</v>
      </c>
      <c r="P44" s="65">
        <f>IF(AG44="5",J44,0)</f>
        <v>0</v>
      </c>
      <c r="R44" s="65">
        <f>IF(AG44="1",H44,0)</f>
        <v>0</v>
      </c>
      <c r="S44" s="65">
        <f>IF(AG44="1",I44,0)</f>
        <v>0</v>
      </c>
      <c r="T44" s="65">
        <f>IF(AG44="7",H44,0)</f>
        <v>0</v>
      </c>
      <c r="U44" s="65">
        <f>IF(AG44="7",I44,0)</f>
        <v>0</v>
      </c>
      <c r="V44" s="65">
        <f>IF(AG44="2",H44,0)</f>
        <v>0</v>
      </c>
      <c r="W44" s="65">
        <f>IF(AG44="2",I44,0)</f>
        <v>0</v>
      </c>
      <c r="X44" s="65">
        <f>IF(AG44="0",J44,0)</f>
        <v>0</v>
      </c>
      <c r="Y44" s="54"/>
      <c r="Z44" s="37">
        <f>IF(AD44=0,J44,0)</f>
        <v>0</v>
      </c>
      <c r="AA44" s="37">
        <f>IF(AD44=15,J44,0)</f>
        <v>0</v>
      </c>
      <c r="AB44" s="37">
        <f>IF(AD44=21,J44,0)</f>
        <v>0</v>
      </c>
      <c r="AD44" s="65">
        <v>15</v>
      </c>
      <c r="AE44" s="65">
        <f>G44*0</f>
        <v>0</v>
      </c>
      <c r="AF44" s="65">
        <f>G44*(1-0)</f>
        <v>0</v>
      </c>
      <c r="AG44" s="60" t="s">
        <v>11</v>
      </c>
      <c r="AM44" s="65">
        <f>F44*AE44</f>
        <v>0</v>
      </c>
      <c r="AN44" s="65">
        <f>F44*AF44</f>
        <v>0</v>
      </c>
      <c r="AO44" s="66" t="s">
        <v>217</v>
      </c>
      <c r="AP44" s="66" t="s">
        <v>223</v>
      </c>
      <c r="AQ44" s="54" t="s">
        <v>226</v>
      </c>
      <c r="AS44" s="65">
        <f>AM44+AN44</f>
        <v>0</v>
      </c>
      <c r="AT44" s="65">
        <f>G44/(100-AU44)*100</f>
        <v>0</v>
      </c>
      <c r="AU44" s="65">
        <v>0</v>
      </c>
      <c r="AV44" s="65">
        <f>L44</f>
        <v>0</v>
      </c>
    </row>
    <row r="45" spans="1:48" ht="12.75">
      <c r="A45" s="10" t="s">
        <v>25</v>
      </c>
      <c r="B45" s="10"/>
      <c r="C45" s="10" t="s">
        <v>73</v>
      </c>
      <c r="D45" s="10" t="s">
        <v>132</v>
      </c>
      <c r="E45" s="10" t="s">
        <v>182</v>
      </c>
      <c r="F45" s="37">
        <v>82.46829</v>
      </c>
      <c r="G45" s="37">
        <v>0</v>
      </c>
      <c r="H45" s="37">
        <f>F45*AE45</f>
        <v>0</v>
      </c>
      <c r="I45" s="37">
        <f>J45-H45</f>
        <v>0</v>
      </c>
      <c r="J45" s="37">
        <f>F45*G45</f>
        <v>0</v>
      </c>
      <c r="K45" s="37">
        <v>0</v>
      </c>
      <c r="L45" s="37">
        <f>F45*K45</f>
        <v>0</v>
      </c>
      <c r="M45" s="60" t="s">
        <v>201</v>
      </c>
      <c r="P45" s="65">
        <f>IF(AG45="5",J45,0)</f>
        <v>0</v>
      </c>
      <c r="R45" s="65">
        <f>IF(AG45="1",H45,0)</f>
        <v>0</v>
      </c>
      <c r="S45" s="65">
        <f>IF(AG45="1",I45,0)</f>
        <v>0</v>
      </c>
      <c r="T45" s="65">
        <f>IF(AG45="7",H45,0)</f>
        <v>0</v>
      </c>
      <c r="U45" s="65">
        <f>IF(AG45="7",I45,0)</f>
        <v>0</v>
      </c>
      <c r="V45" s="65">
        <f>IF(AG45="2",H45,0)</f>
        <v>0</v>
      </c>
      <c r="W45" s="65">
        <f>IF(AG45="2",I45,0)</f>
        <v>0</v>
      </c>
      <c r="X45" s="65">
        <f>IF(AG45="0",J45,0)</f>
        <v>0</v>
      </c>
      <c r="Y45" s="54"/>
      <c r="Z45" s="37">
        <f>IF(AD45=0,J45,0)</f>
        <v>0</v>
      </c>
      <c r="AA45" s="37">
        <f>IF(AD45=15,J45,0)</f>
        <v>0</v>
      </c>
      <c r="AB45" s="37">
        <f>IF(AD45=21,J45,0)</f>
        <v>0</v>
      </c>
      <c r="AD45" s="65">
        <v>15</v>
      </c>
      <c r="AE45" s="65">
        <f>G45*0</f>
        <v>0</v>
      </c>
      <c r="AF45" s="65">
        <f>G45*(1-0)</f>
        <v>0</v>
      </c>
      <c r="AG45" s="60" t="s">
        <v>11</v>
      </c>
      <c r="AM45" s="65">
        <f>F45*AE45</f>
        <v>0</v>
      </c>
      <c r="AN45" s="65">
        <f>F45*AF45</f>
        <v>0</v>
      </c>
      <c r="AO45" s="66" t="s">
        <v>217</v>
      </c>
      <c r="AP45" s="66" t="s">
        <v>223</v>
      </c>
      <c r="AQ45" s="54" t="s">
        <v>226</v>
      </c>
      <c r="AS45" s="65">
        <f>AM45+AN45</f>
        <v>0</v>
      </c>
      <c r="AT45" s="65">
        <f>G45/(100-AU45)*100</f>
        <v>0</v>
      </c>
      <c r="AU45" s="65">
        <v>0</v>
      </c>
      <c r="AV45" s="65">
        <f>L45</f>
        <v>0</v>
      </c>
    </row>
    <row r="46" spans="4:6" ht="12.75">
      <c r="D46" s="30" t="s">
        <v>133</v>
      </c>
      <c r="F46" s="38">
        <v>82.46829</v>
      </c>
    </row>
    <row r="47" spans="1:48" ht="12.75">
      <c r="A47" s="10" t="s">
        <v>26</v>
      </c>
      <c r="B47" s="10"/>
      <c r="C47" s="10" t="s">
        <v>74</v>
      </c>
      <c r="D47" s="10" t="s">
        <v>134</v>
      </c>
      <c r="E47" s="10" t="s">
        <v>182</v>
      </c>
      <c r="F47" s="37">
        <v>6.937</v>
      </c>
      <c r="G47" s="37">
        <v>0</v>
      </c>
      <c r="H47" s="37">
        <f>F47*AE47</f>
        <v>0</v>
      </c>
      <c r="I47" s="37">
        <f>J47-H47</f>
        <v>0</v>
      </c>
      <c r="J47" s="37">
        <f>F47*G47</f>
        <v>0</v>
      </c>
      <c r="K47" s="37">
        <v>0</v>
      </c>
      <c r="L47" s="37">
        <f>F47*K47</f>
        <v>0</v>
      </c>
      <c r="M47" s="60" t="s">
        <v>201</v>
      </c>
      <c r="P47" s="65">
        <f>IF(AG47="5",J47,0)</f>
        <v>0</v>
      </c>
      <c r="R47" s="65">
        <f>IF(AG47="1",H47,0)</f>
        <v>0</v>
      </c>
      <c r="S47" s="65">
        <f>IF(AG47="1",I47,0)</f>
        <v>0</v>
      </c>
      <c r="T47" s="65">
        <f>IF(AG47="7",H47,0)</f>
        <v>0</v>
      </c>
      <c r="U47" s="65">
        <f>IF(AG47="7",I47,0)</f>
        <v>0</v>
      </c>
      <c r="V47" s="65">
        <f>IF(AG47="2",H47,0)</f>
        <v>0</v>
      </c>
      <c r="W47" s="65">
        <f>IF(AG47="2",I47,0)</f>
        <v>0</v>
      </c>
      <c r="X47" s="65">
        <f>IF(AG47="0",J47,0)</f>
        <v>0</v>
      </c>
      <c r="Y47" s="54"/>
      <c r="Z47" s="37">
        <f>IF(AD47=0,J47,0)</f>
        <v>0</v>
      </c>
      <c r="AA47" s="37">
        <f>IF(AD47=15,J47,0)</f>
        <v>0</v>
      </c>
      <c r="AB47" s="37">
        <f>IF(AD47=21,J47,0)</f>
        <v>0</v>
      </c>
      <c r="AD47" s="65">
        <v>15</v>
      </c>
      <c r="AE47" s="65">
        <f>G47*0</f>
        <v>0</v>
      </c>
      <c r="AF47" s="65">
        <f>G47*(1-0)</f>
        <v>0</v>
      </c>
      <c r="AG47" s="60" t="s">
        <v>11</v>
      </c>
      <c r="AM47" s="65">
        <f>F47*AE47</f>
        <v>0</v>
      </c>
      <c r="AN47" s="65">
        <f>F47*AF47</f>
        <v>0</v>
      </c>
      <c r="AO47" s="66" t="s">
        <v>217</v>
      </c>
      <c r="AP47" s="66" t="s">
        <v>223</v>
      </c>
      <c r="AQ47" s="54" t="s">
        <v>226</v>
      </c>
      <c r="AS47" s="65">
        <f>AM47+AN47</f>
        <v>0</v>
      </c>
      <c r="AT47" s="65">
        <f>G47/(100-AU47)*100</f>
        <v>0</v>
      </c>
      <c r="AU47" s="65">
        <v>0</v>
      </c>
      <c r="AV47" s="65">
        <f>L47</f>
        <v>0</v>
      </c>
    </row>
    <row r="48" spans="4:6" ht="12.75">
      <c r="D48" s="30" t="s">
        <v>135</v>
      </c>
      <c r="F48" s="38">
        <v>6.937</v>
      </c>
    </row>
    <row r="49" spans="1:48" ht="12.75">
      <c r="A49" s="10" t="s">
        <v>27</v>
      </c>
      <c r="B49" s="10"/>
      <c r="C49" s="10" t="s">
        <v>75</v>
      </c>
      <c r="D49" s="10" t="s">
        <v>136</v>
      </c>
      <c r="E49" s="10" t="s">
        <v>182</v>
      </c>
      <c r="F49" s="37">
        <v>0.0557</v>
      </c>
      <c r="G49" s="37">
        <v>0</v>
      </c>
      <c r="H49" s="37">
        <f>F49*AE49</f>
        <v>0</v>
      </c>
      <c r="I49" s="37">
        <f>J49-H49</f>
        <v>0</v>
      </c>
      <c r="J49" s="37">
        <f>F49*G49</f>
        <v>0</v>
      </c>
      <c r="K49" s="37">
        <v>0</v>
      </c>
      <c r="L49" s="37">
        <f>F49*K49</f>
        <v>0</v>
      </c>
      <c r="M49" s="60" t="s">
        <v>201</v>
      </c>
      <c r="P49" s="65">
        <f>IF(AG49="5",J49,0)</f>
        <v>0</v>
      </c>
      <c r="R49" s="65">
        <f>IF(AG49="1",H49,0)</f>
        <v>0</v>
      </c>
      <c r="S49" s="65">
        <f>IF(AG49="1",I49,0)</f>
        <v>0</v>
      </c>
      <c r="T49" s="65">
        <f>IF(AG49="7",H49,0)</f>
        <v>0</v>
      </c>
      <c r="U49" s="65">
        <f>IF(AG49="7",I49,0)</f>
        <v>0</v>
      </c>
      <c r="V49" s="65">
        <f>IF(AG49="2",H49,0)</f>
        <v>0</v>
      </c>
      <c r="W49" s="65">
        <f>IF(AG49="2",I49,0)</f>
        <v>0</v>
      </c>
      <c r="X49" s="65">
        <f>IF(AG49="0",J49,0)</f>
        <v>0</v>
      </c>
      <c r="Y49" s="54"/>
      <c r="Z49" s="37">
        <f>IF(AD49=0,J49,0)</f>
        <v>0</v>
      </c>
      <c r="AA49" s="37">
        <f>IF(AD49=15,J49,0)</f>
        <v>0</v>
      </c>
      <c r="AB49" s="37">
        <f>IF(AD49=21,J49,0)</f>
        <v>0</v>
      </c>
      <c r="AD49" s="65">
        <v>15</v>
      </c>
      <c r="AE49" s="65">
        <f>G49*0</f>
        <v>0</v>
      </c>
      <c r="AF49" s="65">
        <f>G49*(1-0)</f>
        <v>0</v>
      </c>
      <c r="AG49" s="60" t="s">
        <v>11</v>
      </c>
      <c r="AM49" s="65">
        <f>F49*AE49</f>
        <v>0</v>
      </c>
      <c r="AN49" s="65">
        <f>F49*AF49</f>
        <v>0</v>
      </c>
      <c r="AO49" s="66" t="s">
        <v>217</v>
      </c>
      <c r="AP49" s="66" t="s">
        <v>223</v>
      </c>
      <c r="AQ49" s="54" t="s">
        <v>226</v>
      </c>
      <c r="AS49" s="65">
        <f>AM49+AN49</f>
        <v>0</v>
      </c>
      <c r="AT49" s="65">
        <f>G49/(100-AU49)*100</f>
        <v>0</v>
      </c>
      <c r="AU49" s="65">
        <v>0</v>
      </c>
      <c r="AV49" s="65">
        <f>L49</f>
        <v>0</v>
      </c>
    </row>
    <row r="50" spans="1:48" ht="12.75">
      <c r="A50" s="10" t="s">
        <v>28</v>
      </c>
      <c r="B50" s="10"/>
      <c r="C50" s="10" t="s">
        <v>76</v>
      </c>
      <c r="D50" s="10" t="s">
        <v>137</v>
      </c>
      <c r="E50" s="10" t="s">
        <v>182</v>
      </c>
      <c r="F50" s="37">
        <v>20.49673</v>
      </c>
      <c r="G50" s="37">
        <v>0</v>
      </c>
      <c r="H50" s="37">
        <f>F50*AE50</f>
        <v>0</v>
      </c>
      <c r="I50" s="37">
        <f>J50-H50</f>
        <v>0</v>
      </c>
      <c r="J50" s="37">
        <f>F50*G50</f>
        <v>0</v>
      </c>
      <c r="K50" s="37">
        <v>0</v>
      </c>
      <c r="L50" s="37">
        <f>F50*K50</f>
        <v>0</v>
      </c>
      <c r="M50" s="60" t="s">
        <v>201</v>
      </c>
      <c r="P50" s="65">
        <f>IF(AG50="5",J50,0)</f>
        <v>0</v>
      </c>
      <c r="R50" s="65">
        <f>IF(AG50="1",H50,0)</f>
        <v>0</v>
      </c>
      <c r="S50" s="65">
        <f>IF(AG50="1",I50,0)</f>
        <v>0</v>
      </c>
      <c r="T50" s="65">
        <f>IF(AG50="7",H50,0)</f>
        <v>0</v>
      </c>
      <c r="U50" s="65">
        <f>IF(AG50="7",I50,0)</f>
        <v>0</v>
      </c>
      <c r="V50" s="65">
        <f>IF(AG50="2",H50,0)</f>
        <v>0</v>
      </c>
      <c r="W50" s="65">
        <f>IF(AG50="2",I50,0)</f>
        <v>0</v>
      </c>
      <c r="X50" s="65">
        <f>IF(AG50="0",J50,0)</f>
        <v>0</v>
      </c>
      <c r="Y50" s="54"/>
      <c r="Z50" s="37">
        <f>IF(AD50=0,J50,0)</f>
        <v>0</v>
      </c>
      <c r="AA50" s="37">
        <f>IF(AD50=15,J50,0)</f>
        <v>0</v>
      </c>
      <c r="AB50" s="37">
        <f>IF(AD50=21,J50,0)</f>
        <v>0</v>
      </c>
      <c r="AD50" s="65">
        <v>15</v>
      </c>
      <c r="AE50" s="65">
        <f>G50*0</f>
        <v>0</v>
      </c>
      <c r="AF50" s="65">
        <f>G50*(1-0)</f>
        <v>0</v>
      </c>
      <c r="AG50" s="60" t="s">
        <v>11</v>
      </c>
      <c r="AM50" s="65">
        <f>F50*AE50</f>
        <v>0</v>
      </c>
      <c r="AN50" s="65">
        <f>F50*AF50</f>
        <v>0</v>
      </c>
      <c r="AO50" s="66" t="s">
        <v>217</v>
      </c>
      <c r="AP50" s="66" t="s">
        <v>223</v>
      </c>
      <c r="AQ50" s="54" t="s">
        <v>226</v>
      </c>
      <c r="AS50" s="65">
        <f>AM50+AN50</f>
        <v>0</v>
      </c>
      <c r="AT50" s="65">
        <f>G50/(100-AU50)*100</f>
        <v>0</v>
      </c>
      <c r="AU50" s="65">
        <v>0</v>
      </c>
      <c r="AV50" s="65">
        <f>L50</f>
        <v>0</v>
      </c>
    </row>
    <row r="51" spans="1:48" ht="12.75">
      <c r="A51" s="10" t="s">
        <v>29</v>
      </c>
      <c r="B51" s="10"/>
      <c r="C51" s="10" t="s">
        <v>77</v>
      </c>
      <c r="D51" s="10" t="s">
        <v>138</v>
      </c>
      <c r="E51" s="10" t="s">
        <v>182</v>
      </c>
      <c r="F51" s="37">
        <v>10.199</v>
      </c>
      <c r="G51" s="37">
        <v>0</v>
      </c>
      <c r="H51" s="37">
        <f>F51*AE51</f>
        <v>0</v>
      </c>
      <c r="I51" s="37">
        <f>J51-H51</f>
        <v>0</v>
      </c>
      <c r="J51" s="37">
        <f>F51*G51</f>
        <v>0</v>
      </c>
      <c r="K51" s="37">
        <v>0</v>
      </c>
      <c r="L51" s="37">
        <f>F51*K51</f>
        <v>0</v>
      </c>
      <c r="M51" s="60" t="s">
        <v>201</v>
      </c>
      <c r="P51" s="65">
        <f>IF(AG51="5",J51,0)</f>
        <v>0</v>
      </c>
      <c r="R51" s="65">
        <f>IF(AG51="1",H51,0)</f>
        <v>0</v>
      </c>
      <c r="S51" s="65">
        <f>IF(AG51="1",I51,0)</f>
        <v>0</v>
      </c>
      <c r="T51" s="65">
        <f>IF(AG51="7",H51,0)</f>
        <v>0</v>
      </c>
      <c r="U51" s="65">
        <f>IF(AG51="7",I51,0)</f>
        <v>0</v>
      </c>
      <c r="V51" s="65">
        <f>IF(AG51="2",H51,0)</f>
        <v>0</v>
      </c>
      <c r="W51" s="65">
        <f>IF(AG51="2",I51,0)</f>
        <v>0</v>
      </c>
      <c r="X51" s="65">
        <f>IF(AG51="0",J51,0)</f>
        <v>0</v>
      </c>
      <c r="Y51" s="54"/>
      <c r="Z51" s="37">
        <f>IF(AD51=0,J51,0)</f>
        <v>0</v>
      </c>
      <c r="AA51" s="37">
        <f>IF(AD51=15,J51,0)</f>
        <v>0</v>
      </c>
      <c r="AB51" s="37">
        <f>IF(AD51=21,J51,0)</f>
        <v>0</v>
      </c>
      <c r="AD51" s="65">
        <v>15</v>
      </c>
      <c r="AE51" s="65">
        <f>G51*0</f>
        <v>0</v>
      </c>
      <c r="AF51" s="65">
        <f>G51*(1-0)</f>
        <v>0</v>
      </c>
      <c r="AG51" s="60" t="s">
        <v>11</v>
      </c>
      <c r="AM51" s="65">
        <f>F51*AE51</f>
        <v>0</v>
      </c>
      <c r="AN51" s="65">
        <f>F51*AF51</f>
        <v>0</v>
      </c>
      <c r="AO51" s="66" t="s">
        <v>217</v>
      </c>
      <c r="AP51" s="66" t="s">
        <v>223</v>
      </c>
      <c r="AQ51" s="54" t="s">
        <v>226</v>
      </c>
      <c r="AS51" s="65">
        <f>AM51+AN51</f>
        <v>0</v>
      </c>
      <c r="AT51" s="65">
        <f>G51/(100-AU51)*100</f>
        <v>0</v>
      </c>
      <c r="AU51" s="65">
        <v>0</v>
      </c>
      <c r="AV51" s="65">
        <f>L51</f>
        <v>0</v>
      </c>
    </row>
    <row r="52" spans="4:6" ht="12.75">
      <c r="D52" s="30" t="s">
        <v>139</v>
      </c>
      <c r="F52" s="38">
        <v>10.199</v>
      </c>
    </row>
    <row r="53" spans="1:48" ht="12.75">
      <c r="A53" s="10" t="s">
        <v>30</v>
      </c>
      <c r="B53" s="10"/>
      <c r="C53" s="10" t="s">
        <v>78</v>
      </c>
      <c r="D53" s="10" t="s">
        <v>140</v>
      </c>
      <c r="E53" s="10" t="s">
        <v>182</v>
      </c>
      <c r="F53" s="37">
        <v>17.29</v>
      </c>
      <c r="G53" s="37">
        <v>0</v>
      </c>
      <c r="H53" s="37">
        <f>F53*AE53</f>
        <v>0</v>
      </c>
      <c r="I53" s="37">
        <f>J53-H53</f>
        <v>0</v>
      </c>
      <c r="J53" s="37">
        <f>F53*G53</f>
        <v>0</v>
      </c>
      <c r="K53" s="37">
        <v>0</v>
      </c>
      <c r="L53" s="37">
        <f>F53*K53</f>
        <v>0</v>
      </c>
      <c r="M53" s="60" t="s">
        <v>201</v>
      </c>
      <c r="P53" s="65">
        <f>IF(AG53="5",J53,0)</f>
        <v>0</v>
      </c>
      <c r="R53" s="65">
        <f>IF(AG53="1",H53,0)</f>
        <v>0</v>
      </c>
      <c r="S53" s="65">
        <f>IF(AG53="1",I53,0)</f>
        <v>0</v>
      </c>
      <c r="T53" s="65">
        <f>IF(AG53="7",H53,0)</f>
        <v>0</v>
      </c>
      <c r="U53" s="65">
        <f>IF(AG53="7",I53,0)</f>
        <v>0</v>
      </c>
      <c r="V53" s="65">
        <f>IF(AG53="2",H53,0)</f>
        <v>0</v>
      </c>
      <c r="W53" s="65">
        <f>IF(AG53="2",I53,0)</f>
        <v>0</v>
      </c>
      <c r="X53" s="65">
        <f>IF(AG53="0",J53,0)</f>
        <v>0</v>
      </c>
      <c r="Y53" s="54"/>
      <c r="Z53" s="37">
        <f>IF(AD53=0,J53,0)</f>
        <v>0</v>
      </c>
      <c r="AA53" s="37">
        <f>IF(AD53=15,J53,0)</f>
        <v>0</v>
      </c>
      <c r="AB53" s="37">
        <f>IF(AD53=21,J53,0)</f>
        <v>0</v>
      </c>
      <c r="AD53" s="65">
        <v>15</v>
      </c>
      <c r="AE53" s="65">
        <f>G53*0</f>
        <v>0</v>
      </c>
      <c r="AF53" s="65">
        <f>G53*(1-0)</f>
        <v>0</v>
      </c>
      <c r="AG53" s="60" t="s">
        <v>11</v>
      </c>
      <c r="AM53" s="65">
        <f>F53*AE53</f>
        <v>0</v>
      </c>
      <c r="AN53" s="65">
        <f>F53*AF53</f>
        <v>0</v>
      </c>
      <c r="AO53" s="66" t="s">
        <v>217</v>
      </c>
      <c r="AP53" s="66" t="s">
        <v>223</v>
      </c>
      <c r="AQ53" s="54" t="s">
        <v>226</v>
      </c>
      <c r="AS53" s="65">
        <f>AM53+AN53</f>
        <v>0</v>
      </c>
      <c r="AT53" s="65">
        <f>G53/(100-AU53)*100</f>
        <v>0</v>
      </c>
      <c r="AU53" s="65">
        <v>0</v>
      </c>
      <c r="AV53" s="65">
        <f>L53</f>
        <v>0</v>
      </c>
    </row>
    <row r="54" spans="4:6" ht="12.75">
      <c r="D54" s="30" t="s">
        <v>141</v>
      </c>
      <c r="F54" s="38">
        <v>17.29</v>
      </c>
    </row>
    <row r="55" spans="1:48" ht="12.75">
      <c r="A55" s="10" t="s">
        <v>31</v>
      </c>
      <c r="B55" s="10"/>
      <c r="C55" s="10" t="s">
        <v>79</v>
      </c>
      <c r="D55" s="10" t="s">
        <v>142</v>
      </c>
      <c r="E55" s="10" t="s">
        <v>182</v>
      </c>
      <c r="F55" s="37">
        <v>27.48943</v>
      </c>
      <c r="G55" s="37">
        <v>0</v>
      </c>
      <c r="H55" s="37">
        <f>F55*AE55</f>
        <v>0</v>
      </c>
      <c r="I55" s="37">
        <f>J55-H55</f>
        <v>0</v>
      </c>
      <c r="J55" s="37">
        <f>F55*G55</f>
        <v>0</v>
      </c>
      <c r="K55" s="37">
        <v>0</v>
      </c>
      <c r="L55" s="37">
        <f>F55*K55</f>
        <v>0</v>
      </c>
      <c r="M55" s="60" t="s">
        <v>201</v>
      </c>
      <c r="P55" s="65">
        <f>IF(AG55="5",J55,0)</f>
        <v>0</v>
      </c>
      <c r="R55" s="65">
        <f>IF(AG55="1",H55,0)</f>
        <v>0</v>
      </c>
      <c r="S55" s="65">
        <f>IF(AG55="1",I55,0)</f>
        <v>0</v>
      </c>
      <c r="T55" s="65">
        <f>IF(AG55="7",H55,0)</f>
        <v>0</v>
      </c>
      <c r="U55" s="65">
        <f>IF(AG55="7",I55,0)</f>
        <v>0</v>
      </c>
      <c r="V55" s="65">
        <f>IF(AG55="2",H55,0)</f>
        <v>0</v>
      </c>
      <c r="W55" s="65">
        <f>IF(AG55="2",I55,0)</f>
        <v>0</v>
      </c>
      <c r="X55" s="65">
        <f>IF(AG55="0",J55,0)</f>
        <v>0</v>
      </c>
      <c r="Y55" s="54"/>
      <c r="Z55" s="37">
        <f>IF(AD55=0,J55,0)</f>
        <v>0</v>
      </c>
      <c r="AA55" s="37">
        <f>IF(AD55=15,J55,0)</f>
        <v>0</v>
      </c>
      <c r="AB55" s="37">
        <f>IF(AD55=21,J55,0)</f>
        <v>0</v>
      </c>
      <c r="AD55" s="65">
        <v>15</v>
      </c>
      <c r="AE55" s="65">
        <f>G55*0</f>
        <v>0</v>
      </c>
      <c r="AF55" s="65">
        <f>G55*(1-0)</f>
        <v>0</v>
      </c>
      <c r="AG55" s="60" t="s">
        <v>11</v>
      </c>
      <c r="AM55" s="65">
        <f>F55*AE55</f>
        <v>0</v>
      </c>
      <c r="AN55" s="65">
        <f>F55*AF55</f>
        <v>0</v>
      </c>
      <c r="AO55" s="66" t="s">
        <v>217</v>
      </c>
      <c r="AP55" s="66" t="s">
        <v>223</v>
      </c>
      <c r="AQ55" s="54" t="s">
        <v>226</v>
      </c>
      <c r="AS55" s="65">
        <f>AM55+AN55</f>
        <v>0</v>
      </c>
      <c r="AT55" s="65">
        <f>G55/(100-AU55)*100</f>
        <v>0</v>
      </c>
      <c r="AU55" s="65">
        <v>0</v>
      </c>
      <c r="AV55" s="65">
        <f>L55</f>
        <v>0</v>
      </c>
    </row>
    <row r="56" spans="1:48" ht="12.75">
      <c r="A56" s="10" t="s">
        <v>32</v>
      </c>
      <c r="B56" s="10"/>
      <c r="C56" s="10" t="s">
        <v>80</v>
      </c>
      <c r="D56" s="10" t="s">
        <v>143</v>
      </c>
      <c r="E56" s="10" t="s">
        <v>182</v>
      </c>
      <c r="F56" s="37">
        <v>439.83088</v>
      </c>
      <c r="G56" s="37">
        <v>0</v>
      </c>
      <c r="H56" s="37">
        <f>F56*AE56</f>
        <v>0</v>
      </c>
      <c r="I56" s="37">
        <f>J56-H56</f>
        <v>0</v>
      </c>
      <c r="J56" s="37">
        <f>F56*G56</f>
        <v>0</v>
      </c>
      <c r="K56" s="37">
        <v>0</v>
      </c>
      <c r="L56" s="37">
        <f>F56*K56</f>
        <v>0</v>
      </c>
      <c r="M56" s="60" t="s">
        <v>201</v>
      </c>
      <c r="P56" s="65">
        <f>IF(AG56="5",J56,0)</f>
        <v>0</v>
      </c>
      <c r="R56" s="65">
        <f>IF(AG56="1",H56,0)</f>
        <v>0</v>
      </c>
      <c r="S56" s="65">
        <f>IF(AG56="1",I56,0)</f>
        <v>0</v>
      </c>
      <c r="T56" s="65">
        <f>IF(AG56="7",H56,0)</f>
        <v>0</v>
      </c>
      <c r="U56" s="65">
        <f>IF(AG56="7",I56,0)</f>
        <v>0</v>
      </c>
      <c r="V56" s="65">
        <f>IF(AG56="2",H56,0)</f>
        <v>0</v>
      </c>
      <c r="W56" s="65">
        <f>IF(AG56="2",I56,0)</f>
        <v>0</v>
      </c>
      <c r="X56" s="65">
        <f>IF(AG56="0",J56,0)</f>
        <v>0</v>
      </c>
      <c r="Y56" s="54"/>
      <c r="Z56" s="37">
        <f>IF(AD56=0,J56,0)</f>
        <v>0</v>
      </c>
      <c r="AA56" s="37">
        <f>IF(AD56=15,J56,0)</f>
        <v>0</v>
      </c>
      <c r="AB56" s="37">
        <f>IF(AD56=21,J56,0)</f>
        <v>0</v>
      </c>
      <c r="AD56" s="65">
        <v>15</v>
      </c>
      <c r="AE56" s="65">
        <f>G56*0</f>
        <v>0</v>
      </c>
      <c r="AF56" s="65">
        <f>G56*(1-0)</f>
        <v>0</v>
      </c>
      <c r="AG56" s="60" t="s">
        <v>11</v>
      </c>
      <c r="AM56" s="65">
        <f>F56*AE56</f>
        <v>0</v>
      </c>
      <c r="AN56" s="65">
        <f>F56*AF56</f>
        <v>0</v>
      </c>
      <c r="AO56" s="66" t="s">
        <v>217</v>
      </c>
      <c r="AP56" s="66" t="s">
        <v>223</v>
      </c>
      <c r="AQ56" s="54" t="s">
        <v>226</v>
      </c>
      <c r="AS56" s="65">
        <f>AM56+AN56</f>
        <v>0</v>
      </c>
      <c r="AT56" s="65">
        <f>G56/(100-AU56)*100</f>
        <v>0</v>
      </c>
      <c r="AU56" s="65">
        <v>0</v>
      </c>
      <c r="AV56" s="65">
        <f>L56</f>
        <v>0</v>
      </c>
    </row>
    <row r="57" spans="4:6" ht="12.75">
      <c r="D57" s="30" t="s">
        <v>144</v>
      </c>
      <c r="F57" s="38">
        <v>439.83088</v>
      </c>
    </row>
    <row r="58" spans="1:37" ht="12.75">
      <c r="A58" s="11"/>
      <c r="B58" s="24"/>
      <c r="C58" s="24" t="s">
        <v>81</v>
      </c>
      <c r="D58" s="24" t="s">
        <v>145</v>
      </c>
      <c r="E58" s="35"/>
      <c r="F58" s="35"/>
      <c r="G58" s="35"/>
      <c r="H58" s="68">
        <f>SUM(H59:H61)</f>
        <v>0</v>
      </c>
      <c r="I58" s="68">
        <f>SUM(I59:I61)</f>
        <v>0</v>
      </c>
      <c r="J58" s="68">
        <f>H58+I58</f>
        <v>0</v>
      </c>
      <c r="K58" s="54"/>
      <c r="L58" s="68">
        <f>SUM(L59:L61)</f>
        <v>0</v>
      </c>
      <c r="M58" s="54"/>
      <c r="Y58" s="54"/>
      <c r="AI58" s="68">
        <f>SUM(Z59:Z61)</f>
        <v>0</v>
      </c>
      <c r="AJ58" s="68">
        <f>SUM(AA59:AA61)</f>
        <v>0</v>
      </c>
      <c r="AK58" s="68">
        <f>SUM(AB59:AB61)</f>
        <v>0</v>
      </c>
    </row>
    <row r="59" spans="1:48" ht="12.75">
      <c r="A59" s="10" t="s">
        <v>33</v>
      </c>
      <c r="B59" s="10"/>
      <c r="C59" s="10" t="s">
        <v>82</v>
      </c>
      <c r="D59" s="10" t="s">
        <v>146</v>
      </c>
      <c r="E59" s="10" t="s">
        <v>180</v>
      </c>
      <c r="F59" s="37">
        <v>146.52</v>
      </c>
      <c r="G59" s="37">
        <v>0</v>
      </c>
      <c r="H59" s="37">
        <f>F59*AE59</f>
        <v>0</v>
      </c>
      <c r="I59" s="37">
        <f>J59-H59</f>
        <v>0</v>
      </c>
      <c r="J59" s="37">
        <f>F59*G59</f>
        <v>0</v>
      </c>
      <c r="K59" s="37">
        <v>0</v>
      </c>
      <c r="L59" s="37">
        <f>F59*K59</f>
        <v>0</v>
      </c>
      <c r="M59" s="60"/>
      <c r="P59" s="65">
        <f>IF(AG59="5",J59,0)</f>
        <v>0</v>
      </c>
      <c r="R59" s="65">
        <f>IF(AG59="1",H59,0)</f>
        <v>0</v>
      </c>
      <c r="S59" s="65">
        <f>IF(AG59="1",I59,0)</f>
        <v>0</v>
      </c>
      <c r="T59" s="65">
        <f>IF(AG59="7",H59,0)</f>
        <v>0</v>
      </c>
      <c r="U59" s="65">
        <f>IF(AG59="7",I59,0)</f>
        <v>0</v>
      </c>
      <c r="V59" s="65">
        <f>IF(AG59="2",H59,0)</f>
        <v>0</v>
      </c>
      <c r="W59" s="65">
        <f>IF(AG59="2",I59,0)</f>
        <v>0</v>
      </c>
      <c r="X59" s="65">
        <f>IF(AG59="0",J59,0)</f>
        <v>0</v>
      </c>
      <c r="Y59" s="54"/>
      <c r="Z59" s="37">
        <f>IF(AD59=0,J59,0)</f>
        <v>0</v>
      </c>
      <c r="AA59" s="37">
        <f>IF(AD59=15,J59,0)</f>
        <v>0</v>
      </c>
      <c r="AB59" s="37">
        <f>IF(AD59=21,J59,0)</f>
        <v>0</v>
      </c>
      <c r="AD59" s="65">
        <v>15</v>
      </c>
      <c r="AE59" s="65">
        <f>G59*1</f>
        <v>0</v>
      </c>
      <c r="AF59" s="65">
        <f>G59*(1-1)</f>
        <v>0</v>
      </c>
      <c r="AG59" s="60" t="s">
        <v>13</v>
      </c>
      <c r="AM59" s="65">
        <f>F59*AE59</f>
        <v>0</v>
      </c>
      <c r="AN59" s="65">
        <f>F59*AF59</f>
        <v>0</v>
      </c>
      <c r="AO59" s="66" t="s">
        <v>218</v>
      </c>
      <c r="AP59" s="66" t="s">
        <v>224</v>
      </c>
      <c r="AQ59" s="54" t="s">
        <v>226</v>
      </c>
      <c r="AS59" s="65">
        <f>AM59+AN59</f>
        <v>0</v>
      </c>
      <c r="AT59" s="65">
        <f>G59/(100-AU59)*100</f>
        <v>0</v>
      </c>
      <c r="AU59" s="65">
        <v>0</v>
      </c>
      <c r="AV59" s="65">
        <f>L59</f>
        <v>0</v>
      </c>
    </row>
    <row r="60" spans="3:13" ht="12.75">
      <c r="C60" s="25" t="s">
        <v>45</v>
      </c>
      <c r="D60" s="29" t="s">
        <v>147</v>
      </c>
      <c r="E60" s="34"/>
      <c r="F60" s="34"/>
      <c r="G60" s="34"/>
      <c r="H60" s="34"/>
      <c r="I60" s="34"/>
      <c r="J60" s="34"/>
      <c r="K60" s="34"/>
      <c r="L60" s="34"/>
      <c r="M60" s="34"/>
    </row>
    <row r="61" spans="1:48" ht="12.75">
      <c r="A61" s="10" t="s">
        <v>34</v>
      </c>
      <c r="B61" s="10"/>
      <c r="C61" s="10" t="s">
        <v>83</v>
      </c>
      <c r="D61" s="10" t="s">
        <v>148</v>
      </c>
      <c r="E61" s="10" t="s">
        <v>182</v>
      </c>
      <c r="F61" s="37">
        <v>0.048</v>
      </c>
      <c r="G61" s="37">
        <v>0</v>
      </c>
      <c r="H61" s="37">
        <f>F61*AE61</f>
        <v>0</v>
      </c>
      <c r="I61" s="37">
        <f>J61-H61</f>
        <v>0</v>
      </c>
      <c r="J61" s="37">
        <f>F61*G61</f>
        <v>0</v>
      </c>
      <c r="K61" s="37">
        <v>0</v>
      </c>
      <c r="L61" s="37">
        <f>F61*K61</f>
        <v>0</v>
      </c>
      <c r="M61" s="60" t="s">
        <v>201</v>
      </c>
      <c r="P61" s="65">
        <f>IF(AG61="5",J61,0)</f>
        <v>0</v>
      </c>
      <c r="R61" s="65">
        <f>IF(AG61="1",H61,0)</f>
        <v>0</v>
      </c>
      <c r="S61" s="65">
        <f>IF(AG61="1",I61,0)</f>
        <v>0</v>
      </c>
      <c r="T61" s="65">
        <f>IF(AG61="7",H61,0)</f>
        <v>0</v>
      </c>
      <c r="U61" s="65">
        <f>IF(AG61="7",I61,0)</f>
        <v>0</v>
      </c>
      <c r="V61" s="65">
        <f>IF(AG61="2",H61,0)</f>
        <v>0</v>
      </c>
      <c r="W61" s="65">
        <f>IF(AG61="2",I61,0)</f>
        <v>0</v>
      </c>
      <c r="X61" s="65">
        <f>IF(AG61="0",J61,0)</f>
        <v>0</v>
      </c>
      <c r="Y61" s="54"/>
      <c r="Z61" s="37">
        <f>IF(AD61=0,J61,0)</f>
        <v>0</v>
      </c>
      <c r="AA61" s="37">
        <f>IF(AD61=15,J61,0)</f>
        <v>0</v>
      </c>
      <c r="AB61" s="37">
        <f>IF(AD61=21,J61,0)</f>
        <v>0</v>
      </c>
      <c r="AD61" s="65">
        <v>15</v>
      </c>
      <c r="AE61" s="65">
        <f>G61*0</f>
        <v>0</v>
      </c>
      <c r="AF61" s="65">
        <f>G61*(1-0)</f>
        <v>0</v>
      </c>
      <c r="AG61" s="60" t="s">
        <v>11</v>
      </c>
      <c r="AM61" s="65">
        <f>F61*AE61</f>
        <v>0</v>
      </c>
      <c r="AN61" s="65">
        <f>F61*AF61</f>
        <v>0</v>
      </c>
      <c r="AO61" s="66" t="s">
        <v>218</v>
      </c>
      <c r="AP61" s="66" t="s">
        <v>224</v>
      </c>
      <c r="AQ61" s="54" t="s">
        <v>226</v>
      </c>
      <c r="AS61" s="65">
        <f>AM61+AN61</f>
        <v>0</v>
      </c>
      <c r="AT61" s="65">
        <f>G61/(100-AU61)*100</f>
        <v>0</v>
      </c>
      <c r="AU61" s="65">
        <v>0</v>
      </c>
      <c r="AV61" s="65">
        <f>L61</f>
        <v>0</v>
      </c>
    </row>
    <row r="62" spans="1:37" ht="12.75">
      <c r="A62" s="11"/>
      <c r="B62" s="24"/>
      <c r="C62" s="24" t="s">
        <v>84</v>
      </c>
      <c r="D62" s="24" t="s">
        <v>149</v>
      </c>
      <c r="E62" s="35"/>
      <c r="F62" s="35"/>
      <c r="G62" s="35"/>
      <c r="H62" s="68">
        <f>SUM(H63:H72)</f>
        <v>0</v>
      </c>
      <c r="I62" s="68">
        <f>SUM(I63:I72)</f>
        <v>0</v>
      </c>
      <c r="J62" s="68">
        <f>H62+I62</f>
        <v>0</v>
      </c>
      <c r="K62" s="54"/>
      <c r="L62" s="68">
        <f>SUM(L63:L72)</f>
        <v>0.49949960000000004</v>
      </c>
      <c r="M62" s="54"/>
      <c r="Y62" s="54"/>
      <c r="AI62" s="68">
        <f>SUM(Z63:Z72)</f>
        <v>0</v>
      </c>
      <c r="AJ62" s="68">
        <f>SUM(AA63:AA72)</f>
        <v>0</v>
      </c>
      <c r="AK62" s="68">
        <f>SUM(AB63:AB72)</f>
        <v>0</v>
      </c>
    </row>
    <row r="63" spans="1:48" ht="12.75">
      <c r="A63" s="10" t="s">
        <v>35</v>
      </c>
      <c r="B63" s="10"/>
      <c r="C63" s="10" t="s">
        <v>85</v>
      </c>
      <c r="D63" s="10" t="s">
        <v>150</v>
      </c>
      <c r="E63" s="10" t="s">
        <v>184</v>
      </c>
      <c r="F63" s="37">
        <v>1009906</v>
      </c>
      <c r="G63" s="37">
        <v>0</v>
      </c>
      <c r="H63" s="37">
        <f>F63*AE63</f>
        <v>0</v>
      </c>
      <c r="I63" s="37">
        <f>J63-H63</f>
        <v>0</v>
      </c>
      <c r="J63" s="37">
        <f>F63*G63</f>
        <v>0</v>
      </c>
      <c r="K63" s="37">
        <v>0</v>
      </c>
      <c r="L63" s="37">
        <f>F63*K63</f>
        <v>0</v>
      </c>
      <c r="M63" s="60"/>
      <c r="P63" s="65">
        <f>IF(AG63="5",J63,0)</f>
        <v>0</v>
      </c>
      <c r="R63" s="65">
        <f>IF(AG63="1",H63,0)</f>
        <v>0</v>
      </c>
      <c r="S63" s="65">
        <f>IF(AG63="1",I63,0)</f>
        <v>0</v>
      </c>
      <c r="T63" s="65">
        <f>IF(AG63="7",H63,0)</f>
        <v>0</v>
      </c>
      <c r="U63" s="65">
        <f>IF(AG63="7",I63,0)</f>
        <v>0</v>
      </c>
      <c r="V63" s="65">
        <f>IF(AG63="2",H63,0)</f>
        <v>0</v>
      </c>
      <c r="W63" s="65">
        <f>IF(AG63="2",I63,0)</f>
        <v>0</v>
      </c>
      <c r="X63" s="65">
        <f>IF(AG63="0",J63,0)</f>
        <v>0</v>
      </c>
      <c r="Y63" s="54"/>
      <c r="Z63" s="37">
        <f>IF(AD63=0,J63,0)</f>
        <v>0</v>
      </c>
      <c r="AA63" s="37">
        <f>IF(AD63=15,J63,0)</f>
        <v>0</v>
      </c>
      <c r="AB63" s="37">
        <f>IF(AD63=21,J63,0)</f>
        <v>0</v>
      </c>
      <c r="AD63" s="65">
        <v>15</v>
      </c>
      <c r="AE63" s="65">
        <f>G63*1</f>
        <v>0</v>
      </c>
      <c r="AF63" s="65">
        <f>G63*(1-1)</f>
        <v>0</v>
      </c>
      <c r="AG63" s="60" t="s">
        <v>13</v>
      </c>
      <c r="AM63" s="65">
        <f>F63*AE63</f>
        <v>0</v>
      </c>
      <c r="AN63" s="65">
        <f>F63*AF63</f>
        <v>0</v>
      </c>
      <c r="AO63" s="66" t="s">
        <v>219</v>
      </c>
      <c r="AP63" s="66" t="s">
        <v>224</v>
      </c>
      <c r="AQ63" s="54" t="s">
        <v>226</v>
      </c>
      <c r="AS63" s="65">
        <f>AM63+AN63</f>
        <v>0</v>
      </c>
      <c r="AT63" s="65">
        <f>G63/(100-AU63)*100</f>
        <v>0</v>
      </c>
      <c r="AU63" s="65">
        <v>0</v>
      </c>
      <c r="AV63" s="65">
        <f>L63</f>
        <v>0</v>
      </c>
    </row>
    <row r="64" spans="3:13" ht="25.5" customHeight="1">
      <c r="C64" s="25" t="s">
        <v>45</v>
      </c>
      <c r="D64" s="29" t="s">
        <v>151</v>
      </c>
      <c r="E64" s="34"/>
      <c r="F64" s="34"/>
      <c r="G64" s="34"/>
      <c r="H64" s="34"/>
      <c r="I64" s="34"/>
      <c r="J64" s="34"/>
      <c r="K64" s="34"/>
      <c r="L64" s="34"/>
      <c r="M64" s="34"/>
    </row>
    <row r="65" spans="1:48" ht="12.75">
      <c r="A65" s="10" t="s">
        <v>36</v>
      </c>
      <c r="B65" s="10"/>
      <c r="C65" s="10" t="s">
        <v>86</v>
      </c>
      <c r="D65" s="10" t="s">
        <v>152</v>
      </c>
      <c r="E65" s="10" t="s">
        <v>180</v>
      </c>
      <c r="F65" s="37">
        <v>670.65</v>
      </c>
      <c r="G65" s="37">
        <v>0</v>
      </c>
      <c r="H65" s="37">
        <f>F65*AE65</f>
        <v>0</v>
      </c>
      <c r="I65" s="37">
        <f>J65-H65</f>
        <v>0</v>
      </c>
      <c r="J65" s="37">
        <f>F65*G65</f>
        <v>0</v>
      </c>
      <c r="K65" s="37">
        <v>4E-05</v>
      </c>
      <c r="L65" s="37">
        <f>F65*K65</f>
        <v>0.026826000000000003</v>
      </c>
      <c r="M65" s="60" t="s">
        <v>201</v>
      </c>
      <c r="P65" s="65">
        <f>IF(AG65="5",J65,0)</f>
        <v>0</v>
      </c>
      <c r="R65" s="65">
        <f>IF(AG65="1",H65,0)</f>
        <v>0</v>
      </c>
      <c r="S65" s="65">
        <f>IF(AG65="1",I65,0)</f>
        <v>0</v>
      </c>
      <c r="T65" s="65">
        <f>IF(AG65="7",H65,0)</f>
        <v>0</v>
      </c>
      <c r="U65" s="65">
        <f>IF(AG65="7",I65,0)</f>
        <v>0</v>
      </c>
      <c r="V65" s="65">
        <f>IF(AG65="2",H65,0)</f>
        <v>0</v>
      </c>
      <c r="W65" s="65">
        <f>IF(AG65="2",I65,0)</f>
        <v>0</v>
      </c>
      <c r="X65" s="65">
        <f>IF(AG65="0",J65,0)</f>
        <v>0</v>
      </c>
      <c r="Y65" s="54"/>
      <c r="Z65" s="37">
        <f>IF(AD65=0,J65,0)</f>
        <v>0</v>
      </c>
      <c r="AA65" s="37">
        <f>IF(AD65=15,J65,0)</f>
        <v>0</v>
      </c>
      <c r="AB65" s="37">
        <f>IF(AD65=21,J65,0)</f>
        <v>0</v>
      </c>
      <c r="AD65" s="65">
        <v>15</v>
      </c>
      <c r="AE65" s="65">
        <f>G65*0.459659120890718</f>
        <v>0</v>
      </c>
      <c r="AF65" s="65">
        <f>G65*(1-0.459659120890718)</f>
        <v>0</v>
      </c>
      <c r="AG65" s="60" t="s">
        <v>13</v>
      </c>
      <c r="AM65" s="65">
        <f>F65*AE65</f>
        <v>0</v>
      </c>
      <c r="AN65" s="65">
        <f>F65*AF65</f>
        <v>0</v>
      </c>
      <c r="AO65" s="66" t="s">
        <v>219</v>
      </c>
      <c r="AP65" s="66" t="s">
        <v>224</v>
      </c>
      <c r="AQ65" s="54" t="s">
        <v>226</v>
      </c>
      <c r="AS65" s="65">
        <f>AM65+AN65</f>
        <v>0</v>
      </c>
      <c r="AT65" s="65">
        <f>G65/(100-AU65)*100</f>
        <v>0</v>
      </c>
      <c r="AU65" s="65">
        <v>0</v>
      </c>
      <c r="AV65" s="65">
        <f>L65</f>
        <v>0.026826000000000003</v>
      </c>
    </row>
    <row r="66" spans="4:6" ht="12.75">
      <c r="D66" s="30" t="s">
        <v>153</v>
      </c>
      <c r="F66" s="38">
        <v>644.93</v>
      </c>
    </row>
    <row r="67" spans="4:6" ht="12.75">
      <c r="D67" s="30" t="s">
        <v>154</v>
      </c>
      <c r="F67" s="38">
        <v>25.72</v>
      </c>
    </row>
    <row r="68" spans="1:48" ht="12.75">
      <c r="A68" s="10" t="s">
        <v>37</v>
      </c>
      <c r="B68" s="10"/>
      <c r="C68" s="10" t="s">
        <v>87</v>
      </c>
      <c r="D68" s="10" t="s">
        <v>155</v>
      </c>
      <c r="E68" s="10" t="s">
        <v>180</v>
      </c>
      <c r="F68" s="37">
        <v>141.71</v>
      </c>
      <c r="G68" s="37">
        <v>0</v>
      </c>
      <c r="H68" s="37">
        <f>F68*AE68</f>
        <v>0</v>
      </c>
      <c r="I68" s="37">
        <f>J68-H68</f>
        <v>0</v>
      </c>
      <c r="J68" s="37">
        <f>F68*G68</f>
        <v>0</v>
      </c>
      <c r="K68" s="37">
        <v>0.00016</v>
      </c>
      <c r="L68" s="37">
        <f>F68*K68</f>
        <v>0.022673600000000002</v>
      </c>
      <c r="M68" s="60" t="s">
        <v>201</v>
      </c>
      <c r="P68" s="65">
        <f>IF(AG68="5",J68,0)</f>
        <v>0</v>
      </c>
      <c r="R68" s="65">
        <f>IF(AG68="1",H68,0)</f>
        <v>0</v>
      </c>
      <c r="S68" s="65">
        <f>IF(AG68="1",I68,0)</f>
        <v>0</v>
      </c>
      <c r="T68" s="65">
        <f>IF(AG68="7",H68,0)</f>
        <v>0</v>
      </c>
      <c r="U68" s="65">
        <f>IF(AG68="7",I68,0)</f>
        <v>0</v>
      </c>
      <c r="V68" s="65">
        <f>IF(AG68="2",H68,0)</f>
        <v>0</v>
      </c>
      <c r="W68" s="65">
        <f>IF(AG68="2",I68,0)</f>
        <v>0</v>
      </c>
      <c r="X68" s="65">
        <f>IF(AG68="0",J68,0)</f>
        <v>0</v>
      </c>
      <c r="Y68" s="54"/>
      <c r="Z68" s="37">
        <f>IF(AD68=0,J68,0)</f>
        <v>0</v>
      </c>
      <c r="AA68" s="37">
        <f>IF(AD68=15,J68,0)</f>
        <v>0</v>
      </c>
      <c r="AB68" s="37">
        <f>IF(AD68=21,J68,0)</f>
        <v>0</v>
      </c>
      <c r="AD68" s="65">
        <v>15</v>
      </c>
      <c r="AE68" s="65">
        <f>G68*0.292188295165394</f>
        <v>0</v>
      </c>
      <c r="AF68" s="65">
        <f>G68*(1-0.292188295165394)</f>
        <v>0</v>
      </c>
      <c r="AG68" s="60" t="s">
        <v>13</v>
      </c>
      <c r="AM68" s="65">
        <f>F68*AE68</f>
        <v>0</v>
      </c>
      <c r="AN68" s="65">
        <f>F68*AF68</f>
        <v>0</v>
      </c>
      <c r="AO68" s="66" t="s">
        <v>219</v>
      </c>
      <c r="AP68" s="66" t="s">
        <v>224</v>
      </c>
      <c r="AQ68" s="54" t="s">
        <v>226</v>
      </c>
      <c r="AS68" s="65">
        <f>AM68+AN68</f>
        <v>0</v>
      </c>
      <c r="AT68" s="65">
        <f>G68/(100-AU68)*100</f>
        <v>0</v>
      </c>
      <c r="AU68" s="65">
        <v>0</v>
      </c>
      <c r="AV68" s="65">
        <f>L68</f>
        <v>0.022673600000000002</v>
      </c>
    </row>
    <row r="69" spans="4:6" ht="12.75">
      <c r="D69" s="30" t="s">
        <v>156</v>
      </c>
      <c r="F69" s="38">
        <v>134.15</v>
      </c>
    </row>
    <row r="70" spans="4:6" ht="12.75">
      <c r="D70" s="30" t="s">
        <v>157</v>
      </c>
      <c r="F70" s="38">
        <v>7.56</v>
      </c>
    </row>
    <row r="71" spans="1:48" ht="12.75">
      <c r="A71" s="10" t="s">
        <v>38</v>
      </c>
      <c r="B71" s="10"/>
      <c r="C71" s="10" t="s">
        <v>88</v>
      </c>
      <c r="D71" s="10" t="s">
        <v>158</v>
      </c>
      <c r="E71" s="10" t="s">
        <v>183</v>
      </c>
      <c r="F71" s="37">
        <v>90</v>
      </c>
      <c r="G71" s="37">
        <v>0</v>
      </c>
      <c r="H71" s="37">
        <f>F71*AE71</f>
        <v>0</v>
      </c>
      <c r="I71" s="37">
        <f>J71-H71</f>
        <v>0</v>
      </c>
      <c r="J71" s="37">
        <f>F71*G71</f>
        <v>0</v>
      </c>
      <c r="K71" s="37">
        <v>0.005</v>
      </c>
      <c r="L71" s="37">
        <f>F71*K71</f>
        <v>0.45</v>
      </c>
      <c r="M71" s="60"/>
      <c r="P71" s="65">
        <f>IF(AG71="5",J71,0)</f>
        <v>0</v>
      </c>
      <c r="R71" s="65">
        <f>IF(AG71="1",H71,0)</f>
        <v>0</v>
      </c>
      <c r="S71" s="65">
        <f>IF(AG71="1",I71,0)</f>
        <v>0</v>
      </c>
      <c r="T71" s="65">
        <f>IF(AG71="7",H71,0)</f>
        <v>0</v>
      </c>
      <c r="U71" s="65">
        <f>IF(AG71="7",I71,0)</f>
        <v>0</v>
      </c>
      <c r="V71" s="65">
        <f>IF(AG71="2",H71,0)</f>
        <v>0</v>
      </c>
      <c r="W71" s="65">
        <f>IF(AG71="2",I71,0)</f>
        <v>0</v>
      </c>
      <c r="X71" s="65">
        <f>IF(AG71="0",J71,0)</f>
        <v>0</v>
      </c>
      <c r="Y71" s="54"/>
      <c r="Z71" s="37">
        <f>IF(AD71=0,J71,0)</f>
        <v>0</v>
      </c>
      <c r="AA71" s="37">
        <f>IF(AD71=15,J71,0)</f>
        <v>0</v>
      </c>
      <c r="AB71" s="37">
        <f>IF(AD71=21,J71,0)</f>
        <v>0</v>
      </c>
      <c r="AD71" s="65">
        <v>15</v>
      </c>
      <c r="AE71" s="65">
        <f>G71*1</f>
        <v>0</v>
      </c>
      <c r="AF71" s="65">
        <f>G71*(1-1)</f>
        <v>0</v>
      </c>
      <c r="AG71" s="60" t="s">
        <v>13</v>
      </c>
      <c r="AM71" s="65">
        <f>F71*AE71</f>
        <v>0</v>
      </c>
      <c r="AN71" s="65">
        <f>F71*AF71</f>
        <v>0</v>
      </c>
      <c r="AO71" s="66" t="s">
        <v>219</v>
      </c>
      <c r="AP71" s="66" t="s">
        <v>224</v>
      </c>
      <c r="AQ71" s="54" t="s">
        <v>226</v>
      </c>
      <c r="AS71" s="65">
        <f>AM71+AN71</f>
        <v>0</v>
      </c>
      <c r="AT71" s="65">
        <f>G71/(100-AU71)*100</f>
        <v>0</v>
      </c>
      <c r="AU71" s="65">
        <v>0</v>
      </c>
      <c r="AV71" s="65">
        <f>L71</f>
        <v>0.45</v>
      </c>
    </row>
    <row r="72" spans="1:48" ht="12.75">
      <c r="A72" s="10" t="s">
        <v>39</v>
      </c>
      <c r="B72" s="10"/>
      <c r="C72" s="10" t="s">
        <v>89</v>
      </c>
      <c r="D72" s="10" t="s">
        <v>159</v>
      </c>
      <c r="E72" s="10" t="s">
        <v>182</v>
      </c>
      <c r="F72" s="37">
        <v>14.2045</v>
      </c>
      <c r="G72" s="37">
        <v>0</v>
      </c>
      <c r="H72" s="37">
        <f>F72*AE72</f>
        <v>0</v>
      </c>
      <c r="I72" s="37">
        <f>J72-H72</f>
        <v>0</v>
      </c>
      <c r="J72" s="37">
        <f>F72*G72</f>
        <v>0</v>
      </c>
      <c r="K72" s="37">
        <v>0</v>
      </c>
      <c r="L72" s="37">
        <f>F72*K72</f>
        <v>0</v>
      </c>
      <c r="M72" s="60" t="s">
        <v>201</v>
      </c>
      <c r="P72" s="65">
        <f>IF(AG72="5",J72,0)</f>
        <v>0</v>
      </c>
      <c r="R72" s="65">
        <f>IF(AG72="1",H72,0)</f>
        <v>0</v>
      </c>
      <c r="S72" s="65">
        <f>IF(AG72="1",I72,0)</f>
        <v>0</v>
      </c>
      <c r="T72" s="65">
        <f>IF(AG72="7",H72,0)</f>
        <v>0</v>
      </c>
      <c r="U72" s="65">
        <f>IF(AG72="7",I72,0)</f>
        <v>0</v>
      </c>
      <c r="V72" s="65">
        <f>IF(AG72="2",H72,0)</f>
        <v>0</v>
      </c>
      <c r="W72" s="65">
        <f>IF(AG72="2",I72,0)</f>
        <v>0</v>
      </c>
      <c r="X72" s="65">
        <f>IF(AG72="0",J72,0)</f>
        <v>0</v>
      </c>
      <c r="Y72" s="54"/>
      <c r="Z72" s="37">
        <f>IF(AD72=0,J72,0)</f>
        <v>0</v>
      </c>
      <c r="AA72" s="37">
        <f>IF(AD72=15,J72,0)</f>
        <v>0</v>
      </c>
      <c r="AB72" s="37">
        <f>IF(AD72=21,J72,0)</f>
        <v>0</v>
      </c>
      <c r="AD72" s="65">
        <v>15</v>
      </c>
      <c r="AE72" s="65">
        <f>G72*0</f>
        <v>0</v>
      </c>
      <c r="AF72" s="65">
        <f>G72*(1-0)</f>
        <v>0</v>
      </c>
      <c r="AG72" s="60" t="s">
        <v>11</v>
      </c>
      <c r="AM72" s="65">
        <f>F72*AE72</f>
        <v>0</v>
      </c>
      <c r="AN72" s="65">
        <f>F72*AF72</f>
        <v>0</v>
      </c>
      <c r="AO72" s="66" t="s">
        <v>219</v>
      </c>
      <c r="AP72" s="66" t="s">
        <v>224</v>
      </c>
      <c r="AQ72" s="54" t="s">
        <v>226</v>
      </c>
      <c r="AS72" s="65">
        <f>AM72+AN72</f>
        <v>0</v>
      </c>
      <c r="AT72" s="65">
        <f>G72/(100-AU72)*100</f>
        <v>0</v>
      </c>
      <c r="AU72" s="65">
        <v>0</v>
      </c>
      <c r="AV72" s="65">
        <f>L72</f>
        <v>0</v>
      </c>
    </row>
    <row r="73" spans="1:37" ht="12.75">
      <c r="A73" s="11"/>
      <c r="B73" s="24"/>
      <c r="C73" s="24" t="s">
        <v>90</v>
      </c>
      <c r="D73" s="24" t="s">
        <v>160</v>
      </c>
      <c r="E73" s="35"/>
      <c r="F73" s="35"/>
      <c r="G73" s="35"/>
      <c r="H73" s="68">
        <f>SUM(H74:H79)</f>
        <v>0</v>
      </c>
      <c r="I73" s="68">
        <f>SUM(I74:I79)</f>
        <v>0</v>
      </c>
      <c r="J73" s="68">
        <f>H73+I73</f>
        <v>0</v>
      </c>
      <c r="K73" s="54"/>
      <c r="L73" s="68">
        <f>SUM(L74:L79)</f>
        <v>0.00298656</v>
      </c>
      <c r="M73" s="54"/>
      <c r="Y73" s="54"/>
      <c r="AI73" s="68">
        <f>SUM(Z74:Z79)</f>
        <v>0</v>
      </c>
      <c r="AJ73" s="68">
        <f>SUM(AA74:AA79)</f>
        <v>0</v>
      </c>
      <c r="AK73" s="68">
        <f>SUM(AB74:AB79)</f>
        <v>0</v>
      </c>
    </row>
    <row r="74" spans="1:48" ht="12.75">
      <c r="A74" s="10" t="s">
        <v>40</v>
      </c>
      <c r="B74" s="10"/>
      <c r="C74" s="10" t="s">
        <v>91</v>
      </c>
      <c r="D74" s="10" t="s">
        <v>161</v>
      </c>
      <c r="E74" s="10" t="s">
        <v>180</v>
      </c>
      <c r="F74" s="37">
        <v>4.7</v>
      </c>
      <c r="G74" s="37">
        <v>0</v>
      </c>
      <c r="H74" s="37">
        <f>F74*AE74</f>
        <v>0</v>
      </c>
      <c r="I74" s="37">
        <f>J74-H74</f>
        <v>0</v>
      </c>
      <c r="J74" s="37">
        <f>F74*G74</f>
        <v>0</v>
      </c>
      <c r="K74" s="37">
        <v>0</v>
      </c>
      <c r="L74" s="37">
        <f>F74*K74</f>
        <v>0</v>
      </c>
      <c r="M74" s="60" t="s">
        <v>201</v>
      </c>
      <c r="P74" s="65">
        <f>IF(AG74="5",J74,0)</f>
        <v>0</v>
      </c>
      <c r="R74" s="65">
        <f>IF(AG74="1",H74,0)</f>
        <v>0</v>
      </c>
      <c r="S74" s="65">
        <f>IF(AG74="1",I74,0)</f>
        <v>0</v>
      </c>
      <c r="T74" s="65">
        <f>IF(AG74="7",H74,0)</f>
        <v>0</v>
      </c>
      <c r="U74" s="65">
        <f>IF(AG74="7",I74,0)</f>
        <v>0</v>
      </c>
      <c r="V74" s="65">
        <f>IF(AG74="2",H74,0)</f>
        <v>0</v>
      </c>
      <c r="W74" s="65">
        <f>IF(AG74="2",I74,0)</f>
        <v>0</v>
      </c>
      <c r="X74" s="65">
        <f>IF(AG74="0",J74,0)</f>
        <v>0</v>
      </c>
      <c r="Y74" s="54"/>
      <c r="Z74" s="37">
        <f>IF(AD74=0,J74,0)</f>
        <v>0</v>
      </c>
      <c r="AA74" s="37">
        <f>IF(AD74=15,J74,0)</f>
        <v>0</v>
      </c>
      <c r="AB74" s="37">
        <f>IF(AD74=21,J74,0)</f>
        <v>0</v>
      </c>
      <c r="AD74" s="65">
        <v>15</v>
      </c>
      <c r="AE74" s="65">
        <f>G74*0</f>
        <v>0</v>
      </c>
      <c r="AF74" s="65">
        <f>G74*(1-0)</f>
        <v>0</v>
      </c>
      <c r="AG74" s="60" t="s">
        <v>13</v>
      </c>
      <c r="AM74" s="65">
        <f>F74*AE74</f>
        <v>0</v>
      </c>
      <c r="AN74" s="65">
        <f>F74*AF74</f>
        <v>0</v>
      </c>
      <c r="AO74" s="66" t="s">
        <v>220</v>
      </c>
      <c r="AP74" s="66" t="s">
        <v>225</v>
      </c>
      <c r="AQ74" s="54" t="s">
        <v>226</v>
      </c>
      <c r="AS74" s="65">
        <f>AM74+AN74</f>
        <v>0</v>
      </c>
      <c r="AT74" s="65">
        <f>G74/(100-AU74)*100</f>
        <v>0</v>
      </c>
      <c r="AU74" s="65">
        <v>0</v>
      </c>
      <c r="AV74" s="65">
        <f>L74</f>
        <v>0</v>
      </c>
    </row>
    <row r="75" spans="4:6" ht="12.75">
      <c r="D75" s="30" t="s">
        <v>162</v>
      </c>
      <c r="F75" s="38">
        <v>4.7</v>
      </c>
    </row>
    <row r="76" spans="1:48" ht="12.75">
      <c r="A76" s="12" t="s">
        <v>41</v>
      </c>
      <c r="B76" s="12"/>
      <c r="C76" s="12" t="s">
        <v>92</v>
      </c>
      <c r="D76" s="12" t="s">
        <v>163</v>
      </c>
      <c r="E76" s="12" t="s">
        <v>181</v>
      </c>
      <c r="F76" s="39">
        <v>0.2448</v>
      </c>
      <c r="G76" s="39">
        <v>0</v>
      </c>
      <c r="H76" s="39">
        <f>F76*AE76</f>
        <v>0</v>
      </c>
      <c r="I76" s="39">
        <f>J76-H76</f>
        <v>0</v>
      </c>
      <c r="J76" s="39">
        <f>F76*G76</f>
        <v>0</v>
      </c>
      <c r="K76" s="39">
        <v>0.0122</v>
      </c>
      <c r="L76" s="39">
        <f>F76*K76</f>
        <v>0.00298656</v>
      </c>
      <c r="M76" s="61" t="s">
        <v>201</v>
      </c>
      <c r="P76" s="65">
        <f>IF(AG76="5",J76,0)</f>
        <v>0</v>
      </c>
      <c r="R76" s="65">
        <f>IF(AG76="1",H76,0)</f>
        <v>0</v>
      </c>
      <c r="S76" s="65">
        <f>IF(AG76="1",I76,0)</f>
        <v>0</v>
      </c>
      <c r="T76" s="65">
        <f>IF(AG76="7",H76,0)</f>
        <v>0</v>
      </c>
      <c r="U76" s="65">
        <f>IF(AG76="7",I76,0)</f>
        <v>0</v>
      </c>
      <c r="V76" s="65">
        <f>IF(AG76="2",H76,0)</f>
        <v>0</v>
      </c>
      <c r="W76" s="65">
        <f>IF(AG76="2",I76,0)</f>
        <v>0</v>
      </c>
      <c r="X76" s="65">
        <f>IF(AG76="0",J76,0)</f>
        <v>0</v>
      </c>
      <c r="Y76" s="54"/>
      <c r="Z76" s="39">
        <f>IF(AD76=0,J76,0)</f>
        <v>0</v>
      </c>
      <c r="AA76" s="39">
        <f>IF(AD76=15,J76,0)</f>
        <v>0</v>
      </c>
      <c r="AB76" s="39">
        <f>IF(AD76=21,J76,0)</f>
        <v>0</v>
      </c>
      <c r="AD76" s="65">
        <v>15</v>
      </c>
      <c r="AE76" s="65">
        <f>G76*1</f>
        <v>0</v>
      </c>
      <c r="AF76" s="65">
        <f>G76*(1-1)</f>
        <v>0</v>
      </c>
      <c r="AG76" s="61" t="s">
        <v>13</v>
      </c>
      <c r="AM76" s="65">
        <f>F76*AE76</f>
        <v>0</v>
      </c>
      <c r="AN76" s="65">
        <f>F76*AF76</f>
        <v>0</v>
      </c>
      <c r="AO76" s="66" t="s">
        <v>220</v>
      </c>
      <c r="AP76" s="66" t="s">
        <v>225</v>
      </c>
      <c r="AQ76" s="54" t="s">
        <v>226</v>
      </c>
      <c r="AS76" s="65">
        <f>AM76+AN76</f>
        <v>0</v>
      </c>
      <c r="AT76" s="65">
        <f>G76/(100-AU76)*100</f>
        <v>0</v>
      </c>
      <c r="AU76" s="65">
        <v>0</v>
      </c>
      <c r="AV76" s="65">
        <f>L76</f>
        <v>0.00298656</v>
      </c>
    </row>
    <row r="77" spans="4:6" ht="12.75">
      <c r="D77" s="30" t="s">
        <v>164</v>
      </c>
      <c r="F77" s="38">
        <v>0.24</v>
      </c>
    </row>
    <row r="78" spans="4:6" ht="12.75">
      <c r="D78" s="30" t="s">
        <v>165</v>
      </c>
      <c r="F78" s="38">
        <v>0.0048</v>
      </c>
    </row>
    <row r="79" spans="1:48" ht="12.75">
      <c r="A79" s="10" t="s">
        <v>42</v>
      </c>
      <c r="B79" s="10"/>
      <c r="C79" s="10" t="s">
        <v>93</v>
      </c>
      <c r="D79" s="10" t="s">
        <v>166</v>
      </c>
      <c r="E79" s="10" t="s">
        <v>182</v>
      </c>
      <c r="F79" s="37">
        <v>0.00299</v>
      </c>
      <c r="G79" s="37">
        <v>0</v>
      </c>
      <c r="H79" s="37">
        <f>F79*AE79</f>
        <v>0</v>
      </c>
      <c r="I79" s="37">
        <f>J79-H79</f>
        <v>0</v>
      </c>
      <c r="J79" s="37">
        <f>F79*G79</f>
        <v>0</v>
      </c>
      <c r="K79" s="37">
        <v>0</v>
      </c>
      <c r="L79" s="37">
        <f>F79*K79</f>
        <v>0</v>
      </c>
      <c r="M79" s="60" t="s">
        <v>201</v>
      </c>
      <c r="P79" s="65">
        <f>IF(AG79="5",J79,0)</f>
        <v>0</v>
      </c>
      <c r="R79" s="65">
        <f>IF(AG79="1",H79,0)</f>
        <v>0</v>
      </c>
      <c r="S79" s="65">
        <f>IF(AG79="1",I79,0)</f>
        <v>0</v>
      </c>
      <c r="T79" s="65">
        <f>IF(AG79="7",H79,0)</f>
        <v>0</v>
      </c>
      <c r="U79" s="65">
        <f>IF(AG79="7",I79,0)</f>
        <v>0</v>
      </c>
      <c r="V79" s="65">
        <f>IF(AG79="2",H79,0)</f>
        <v>0</v>
      </c>
      <c r="W79" s="65">
        <f>IF(AG79="2",I79,0)</f>
        <v>0</v>
      </c>
      <c r="X79" s="65">
        <f>IF(AG79="0",J79,0)</f>
        <v>0</v>
      </c>
      <c r="Y79" s="54"/>
      <c r="Z79" s="37">
        <f>IF(AD79=0,J79,0)</f>
        <v>0</v>
      </c>
      <c r="AA79" s="37">
        <f>IF(AD79=15,J79,0)</f>
        <v>0</v>
      </c>
      <c r="AB79" s="37">
        <f>IF(AD79=21,J79,0)</f>
        <v>0</v>
      </c>
      <c r="AD79" s="65">
        <v>15</v>
      </c>
      <c r="AE79" s="65">
        <f>G79*0</f>
        <v>0</v>
      </c>
      <c r="AF79" s="65">
        <f>G79*(1-0)</f>
        <v>0</v>
      </c>
      <c r="AG79" s="60" t="s">
        <v>11</v>
      </c>
      <c r="AM79" s="65">
        <f>F79*AE79</f>
        <v>0</v>
      </c>
      <c r="AN79" s="65">
        <f>F79*AF79</f>
        <v>0</v>
      </c>
      <c r="AO79" s="66" t="s">
        <v>220</v>
      </c>
      <c r="AP79" s="66" t="s">
        <v>225</v>
      </c>
      <c r="AQ79" s="54" t="s">
        <v>226</v>
      </c>
      <c r="AS79" s="65">
        <f>AM79+AN79</f>
        <v>0</v>
      </c>
      <c r="AT79" s="65">
        <f>G79/(100-AU79)*100</f>
        <v>0</v>
      </c>
      <c r="AU79" s="65">
        <v>0</v>
      </c>
      <c r="AV79" s="65">
        <f>L79</f>
        <v>0</v>
      </c>
    </row>
    <row r="80" spans="1:37" ht="12.75">
      <c r="A80" s="11"/>
      <c r="B80" s="24"/>
      <c r="C80" s="24" t="s">
        <v>94</v>
      </c>
      <c r="D80" s="24" t="s">
        <v>167</v>
      </c>
      <c r="E80" s="35"/>
      <c r="F80" s="35"/>
      <c r="G80" s="35"/>
      <c r="H80" s="68">
        <f>SUM(H81:H87)</f>
        <v>0</v>
      </c>
      <c r="I80" s="68">
        <f>SUM(I81:I87)</f>
        <v>0</v>
      </c>
      <c r="J80" s="68">
        <f>H80+I80</f>
        <v>0</v>
      </c>
      <c r="K80" s="54"/>
      <c r="L80" s="68">
        <f>SUM(L81:L87)</f>
        <v>0.4542292</v>
      </c>
      <c r="M80" s="54"/>
      <c r="Y80" s="54"/>
      <c r="AI80" s="68">
        <f>SUM(Z81:Z87)</f>
        <v>0</v>
      </c>
      <c r="AJ80" s="68">
        <f>SUM(AA81:AA87)</f>
        <v>0</v>
      </c>
      <c r="AK80" s="68">
        <f>SUM(AB81:AB87)</f>
        <v>0</v>
      </c>
    </row>
    <row r="81" spans="1:48" ht="12.75">
      <c r="A81" s="10" t="s">
        <v>43</v>
      </c>
      <c r="B81" s="10"/>
      <c r="C81" s="10" t="s">
        <v>95</v>
      </c>
      <c r="D81" s="10" t="s">
        <v>168</v>
      </c>
      <c r="E81" s="10" t="s">
        <v>181</v>
      </c>
      <c r="F81" s="37">
        <v>1195.34</v>
      </c>
      <c r="G81" s="37">
        <v>0</v>
      </c>
      <c r="H81" s="37">
        <f>F81*AE81</f>
        <v>0</v>
      </c>
      <c r="I81" s="37">
        <f>J81-H81</f>
        <v>0</v>
      </c>
      <c r="J81" s="37">
        <f>F81*G81</f>
        <v>0</v>
      </c>
      <c r="K81" s="37">
        <v>0.00017</v>
      </c>
      <c r="L81" s="37">
        <f>F81*K81</f>
        <v>0.2032078</v>
      </c>
      <c r="M81" s="60" t="s">
        <v>201</v>
      </c>
      <c r="P81" s="65">
        <f>IF(AG81="5",J81,0)</f>
        <v>0</v>
      </c>
      <c r="R81" s="65">
        <f>IF(AG81="1",H81,0)</f>
        <v>0</v>
      </c>
      <c r="S81" s="65">
        <f>IF(AG81="1",I81,0)</f>
        <v>0</v>
      </c>
      <c r="T81" s="65">
        <f>IF(AG81="7",H81,0)</f>
        <v>0</v>
      </c>
      <c r="U81" s="65">
        <f>IF(AG81="7",I81,0)</f>
        <v>0</v>
      </c>
      <c r="V81" s="65">
        <f>IF(AG81="2",H81,0)</f>
        <v>0</v>
      </c>
      <c r="W81" s="65">
        <f>IF(AG81="2",I81,0)</f>
        <v>0</v>
      </c>
      <c r="X81" s="65">
        <f>IF(AG81="0",J81,0)</f>
        <v>0</v>
      </c>
      <c r="Y81" s="54"/>
      <c r="Z81" s="37">
        <f>IF(AD81=0,J81,0)</f>
        <v>0</v>
      </c>
      <c r="AA81" s="37">
        <f>IF(AD81=15,J81,0)</f>
        <v>0</v>
      </c>
      <c r="AB81" s="37">
        <f>IF(AD81=21,J81,0)</f>
        <v>0</v>
      </c>
      <c r="AD81" s="65">
        <v>15</v>
      </c>
      <c r="AE81" s="65">
        <f>G81*0.291194968553459</f>
        <v>0</v>
      </c>
      <c r="AF81" s="65">
        <f>G81*(1-0.291194968553459)</f>
        <v>0</v>
      </c>
      <c r="AG81" s="60" t="s">
        <v>13</v>
      </c>
      <c r="AM81" s="65">
        <f>F81*AE81</f>
        <v>0</v>
      </c>
      <c r="AN81" s="65">
        <f>F81*AF81</f>
        <v>0</v>
      </c>
      <c r="AO81" s="66" t="s">
        <v>221</v>
      </c>
      <c r="AP81" s="66" t="s">
        <v>225</v>
      </c>
      <c r="AQ81" s="54" t="s">
        <v>226</v>
      </c>
      <c r="AS81" s="65">
        <f>AM81+AN81</f>
        <v>0</v>
      </c>
      <c r="AT81" s="65">
        <f>G81/(100-AU81)*100</f>
        <v>0</v>
      </c>
      <c r="AU81" s="65">
        <v>0</v>
      </c>
      <c r="AV81" s="65">
        <f>L81</f>
        <v>0.2032078</v>
      </c>
    </row>
    <row r="82" spans="4:6" ht="12.75">
      <c r="D82" s="30" t="s">
        <v>169</v>
      </c>
      <c r="F82" s="38">
        <v>57.42</v>
      </c>
    </row>
    <row r="83" spans="4:6" ht="12.75">
      <c r="D83" s="30" t="s">
        <v>170</v>
      </c>
      <c r="F83" s="38">
        <v>112.52</v>
      </c>
    </row>
    <row r="84" spans="4:6" ht="12.75">
      <c r="D84" s="30" t="s">
        <v>171</v>
      </c>
      <c r="F84" s="38">
        <v>318.4</v>
      </c>
    </row>
    <row r="85" spans="4:6" ht="12.75">
      <c r="D85" s="30" t="s">
        <v>172</v>
      </c>
      <c r="F85" s="38">
        <v>352.4</v>
      </c>
    </row>
    <row r="86" spans="4:6" ht="12.75">
      <c r="D86" s="30" t="s">
        <v>173</v>
      </c>
      <c r="F86" s="38">
        <v>354.6</v>
      </c>
    </row>
    <row r="87" spans="1:48" ht="12.75">
      <c r="A87" s="13" t="s">
        <v>44</v>
      </c>
      <c r="B87" s="13"/>
      <c r="C87" s="13" t="s">
        <v>96</v>
      </c>
      <c r="D87" s="13" t="s">
        <v>174</v>
      </c>
      <c r="E87" s="13" t="s">
        <v>181</v>
      </c>
      <c r="F87" s="40">
        <v>1195.34</v>
      </c>
      <c r="G87" s="40">
        <v>0</v>
      </c>
      <c r="H87" s="40">
        <f>F87*AE87</f>
        <v>0</v>
      </c>
      <c r="I87" s="40">
        <f>J87-H87</f>
        <v>0</v>
      </c>
      <c r="J87" s="40">
        <f>F87*G87</f>
        <v>0</v>
      </c>
      <c r="K87" s="40">
        <v>0.00021</v>
      </c>
      <c r="L87" s="40">
        <f>F87*K87</f>
        <v>0.2510214</v>
      </c>
      <c r="M87" s="62" t="s">
        <v>201</v>
      </c>
      <c r="P87" s="65">
        <f>IF(AG87="5",J87,0)</f>
        <v>0</v>
      </c>
      <c r="R87" s="65">
        <f>IF(AG87="1",H87,0)</f>
        <v>0</v>
      </c>
      <c r="S87" s="65">
        <f>IF(AG87="1",I87,0)</f>
        <v>0</v>
      </c>
      <c r="T87" s="65">
        <f>IF(AG87="7",H87,0)</f>
        <v>0</v>
      </c>
      <c r="U87" s="65">
        <f>IF(AG87="7",I87,0)</f>
        <v>0</v>
      </c>
      <c r="V87" s="65">
        <f>IF(AG87="2",H87,0)</f>
        <v>0</v>
      </c>
      <c r="W87" s="65">
        <f>IF(AG87="2",I87,0)</f>
        <v>0</v>
      </c>
      <c r="X87" s="65">
        <f>IF(AG87="0",J87,0)</f>
        <v>0</v>
      </c>
      <c r="Y87" s="54"/>
      <c r="Z87" s="37">
        <f>IF(AD87=0,J87,0)</f>
        <v>0</v>
      </c>
      <c r="AA87" s="37">
        <f>IF(AD87=15,J87,0)</f>
        <v>0</v>
      </c>
      <c r="AB87" s="37">
        <f>IF(AD87=21,J87,0)</f>
        <v>0</v>
      </c>
      <c r="AD87" s="65">
        <v>15</v>
      </c>
      <c r="AE87" s="65">
        <f>G87*0.086140395988686</f>
        <v>0</v>
      </c>
      <c r="AF87" s="65">
        <f>G87*(1-0.086140395988686)</f>
        <v>0</v>
      </c>
      <c r="AG87" s="60" t="s">
        <v>13</v>
      </c>
      <c r="AM87" s="65">
        <f>F87*AE87</f>
        <v>0</v>
      </c>
      <c r="AN87" s="65">
        <f>F87*AF87</f>
        <v>0</v>
      </c>
      <c r="AO87" s="66" t="s">
        <v>221</v>
      </c>
      <c r="AP87" s="66" t="s">
        <v>225</v>
      </c>
      <c r="AQ87" s="54" t="s">
        <v>226</v>
      </c>
      <c r="AS87" s="65">
        <f>AM87+AN87</f>
        <v>0</v>
      </c>
      <c r="AT87" s="65">
        <f>G87/(100-AU87)*100</f>
        <v>0</v>
      </c>
      <c r="AU87" s="65">
        <v>0</v>
      </c>
      <c r="AV87" s="65">
        <f>L87</f>
        <v>0.2510214</v>
      </c>
    </row>
    <row r="88" spans="1:13" ht="12.75">
      <c r="A88" s="14"/>
      <c r="B88" s="14"/>
      <c r="C88" s="14"/>
      <c r="D88" s="14"/>
      <c r="E88" s="14"/>
      <c r="F88" s="14"/>
      <c r="G88" s="14"/>
      <c r="H88" s="46" t="s">
        <v>190</v>
      </c>
      <c r="I88" s="50"/>
      <c r="J88" s="69">
        <f>J12+J17+J24+J26+J31+J40+J43+J58+J62+J73+J80</f>
        <v>0</v>
      </c>
      <c r="K88" s="14"/>
      <c r="L88" s="14"/>
      <c r="M88" s="14"/>
    </row>
    <row r="89" ht="11.25" customHeight="1">
      <c r="A89" s="15" t="s">
        <v>45</v>
      </c>
    </row>
    <row r="90" spans="1:13" ht="0" customHeight="1" hidden="1">
      <c r="A90" s="16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</sheetData>
  <mergeCells count="4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M14"/>
    <mergeCell ref="D17:G17"/>
    <mergeCell ref="D19:M19"/>
    <mergeCell ref="D21:M21"/>
    <mergeCell ref="D23:M23"/>
    <mergeCell ref="D24:G24"/>
    <mergeCell ref="D26:G26"/>
    <mergeCell ref="D31:G31"/>
    <mergeCell ref="D40:G40"/>
    <mergeCell ref="D42:M42"/>
    <mergeCell ref="D43:G43"/>
    <mergeCell ref="D58:G58"/>
    <mergeCell ref="D60:M60"/>
    <mergeCell ref="D62:G62"/>
    <mergeCell ref="D64:M64"/>
    <mergeCell ref="D73:G73"/>
    <mergeCell ref="D80:G80"/>
    <mergeCell ref="H88:I88"/>
    <mergeCell ref="A90:M9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24" t="s">
        <v>227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6" t="s">
        <v>97</v>
      </c>
      <c r="C2" s="50"/>
      <c r="D2" s="47" t="s">
        <v>191</v>
      </c>
      <c r="E2" s="47"/>
      <c r="F2" s="18"/>
      <c r="G2" s="55"/>
      <c r="H2" s="63"/>
    </row>
    <row r="3" spans="1:8" ht="12.75">
      <c r="A3" s="4"/>
      <c r="B3" s="27"/>
      <c r="C3" s="27"/>
      <c r="D3" s="19"/>
      <c r="E3" s="19"/>
      <c r="F3" s="19"/>
      <c r="G3" s="56"/>
      <c r="H3" s="63"/>
    </row>
    <row r="4" spans="1:8" ht="12.75">
      <c r="A4" s="5" t="s">
        <v>2</v>
      </c>
      <c r="B4" s="16"/>
      <c r="C4" s="19"/>
      <c r="D4" s="16" t="s">
        <v>192</v>
      </c>
      <c r="E4" s="16"/>
      <c r="F4" s="19"/>
      <c r="G4" s="56"/>
      <c r="H4" s="63"/>
    </row>
    <row r="5" spans="1:8" ht="12.75">
      <c r="A5" s="4"/>
      <c r="B5" s="19"/>
      <c r="C5" s="19"/>
      <c r="D5" s="19"/>
      <c r="E5" s="19"/>
      <c r="F5" s="19"/>
      <c r="G5" s="56"/>
      <c r="H5" s="63"/>
    </row>
    <row r="6" spans="1:8" ht="12.75">
      <c r="A6" s="5" t="s">
        <v>3</v>
      </c>
      <c r="B6" s="16" t="s">
        <v>98</v>
      </c>
      <c r="C6" s="19"/>
      <c r="D6" s="16" t="s">
        <v>193</v>
      </c>
      <c r="E6" s="16"/>
      <c r="F6" s="19"/>
      <c r="G6" s="56"/>
      <c r="H6" s="63"/>
    </row>
    <row r="7" spans="1:8" ht="12.75">
      <c r="A7" s="4"/>
      <c r="B7" s="19"/>
      <c r="C7" s="19"/>
      <c r="D7" s="19"/>
      <c r="E7" s="19"/>
      <c r="F7" s="19"/>
      <c r="G7" s="56"/>
      <c r="H7" s="63"/>
    </row>
    <row r="8" spans="1:8" ht="12.75">
      <c r="A8" s="5" t="s">
        <v>194</v>
      </c>
      <c r="B8" s="16" t="s">
        <v>196</v>
      </c>
      <c r="C8" s="19"/>
      <c r="D8" s="32" t="s">
        <v>178</v>
      </c>
      <c r="E8" s="41">
        <v>42754</v>
      </c>
      <c r="F8" s="19"/>
      <c r="G8" s="56"/>
      <c r="H8" s="63"/>
    </row>
    <row r="9" spans="1:8" ht="12.75">
      <c r="A9" s="6"/>
      <c r="B9" s="20"/>
      <c r="C9" s="20"/>
      <c r="D9" s="20"/>
      <c r="E9" s="20"/>
      <c r="F9" s="20"/>
      <c r="G9" s="57"/>
      <c r="H9" s="63"/>
    </row>
    <row r="10" spans="1:8" ht="12.75">
      <c r="A10" s="70" t="s">
        <v>46</v>
      </c>
      <c r="B10" s="72" t="s">
        <v>47</v>
      </c>
      <c r="C10" s="73" t="s">
        <v>99</v>
      </c>
      <c r="D10" s="74" t="s">
        <v>228</v>
      </c>
      <c r="E10" s="74" t="s">
        <v>229</v>
      </c>
      <c r="F10" s="74" t="s">
        <v>230</v>
      </c>
      <c r="G10" s="76" t="s">
        <v>231</v>
      </c>
      <c r="H10" s="64"/>
    </row>
    <row r="11" spans="1:9" ht="12.75">
      <c r="A11" s="71"/>
      <c r="B11" s="71" t="s">
        <v>48</v>
      </c>
      <c r="C11" s="71" t="s">
        <v>101</v>
      </c>
      <c r="D11" s="77">
        <f>'Stavební rozpočet'!H12</f>
        <v>0</v>
      </c>
      <c r="E11" s="77">
        <f>'Stavební rozpočet'!I12</f>
        <v>0</v>
      </c>
      <c r="F11" s="77">
        <f>D11+E11</f>
        <v>0</v>
      </c>
      <c r="G11" s="77">
        <f>'Stavební rozpočet'!L12</f>
        <v>10.6998355</v>
      </c>
      <c r="H11" s="65" t="s">
        <v>232</v>
      </c>
      <c r="I11" s="65">
        <f>IF(H11="F",0,F11)</f>
        <v>0</v>
      </c>
    </row>
    <row r="12" spans="1:9" ht="12.75">
      <c r="A12" s="32"/>
      <c r="B12" s="32" t="s">
        <v>52</v>
      </c>
      <c r="C12" s="32" t="s">
        <v>106</v>
      </c>
      <c r="D12" s="65">
        <f>'Stavební rozpočet'!H17</f>
        <v>0</v>
      </c>
      <c r="E12" s="65">
        <f>'Stavební rozpočet'!I17</f>
        <v>0</v>
      </c>
      <c r="F12" s="65">
        <f>D12+E12</f>
        <v>0</v>
      </c>
      <c r="G12" s="65">
        <f>'Stavební rozpočet'!L17</f>
        <v>0.8372963999999999</v>
      </c>
      <c r="H12" s="65" t="s">
        <v>232</v>
      </c>
      <c r="I12" s="65">
        <f>IF(H12="F",0,F12)</f>
        <v>0</v>
      </c>
    </row>
    <row r="13" spans="1:9" ht="12.75">
      <c r="A13" s="32"/>
      <c r="B13" s="32" t="s">
        <v>56</v>
      </c>
      <c r="C13" s="32" t="s">
        <v>111</v>
      </c>
      <c r="D13" s="65">
        <f>'Stavební rozpočet'!H24</f>
        <v>0</v>
      </c>
      <c r="E13" s="65">
        <f>'Stavební rozpočet'!I24</f>
        <v>0</v>
      </c>
      <c r="F13" s="65">
        <f>D13+E13</f>
        <v>0</v>
      </c>
      <c r="G13" s="65">
        <f>'Stavební rozpočet'!L24</f>
        <v>0.3522552</v>
      </c>
      <c r="H13" s="65" t="s">
        <v>232</v>
      </c>
      <c r="I13" s="65">
        <f>IF(H13="F",0,F13)</f>
        <v>0</v>
      </c>
    </row>
    <row r="14" spans="1:9" ht="12.75">
      <c r="A14" s="32"/>
      <c r="B14" s="32" t="s">
        <v>58</v>
      </c>
      <c r="C14" s="32" t="s">
        <v>113</v>
      </c>
      <c r="D14" s="65">
        <f>'Stavební rozpočet'!H26</f>
        <v>0</v>
      </c>
      <c r="E14" s="65">
        <f>'Stavební rozpočet'!I26</f>
        <v>0</v>
      </c>
      <c r="F14" s="65">
        <f>D14+E14</f>
        <v>0</v>
      </c>
      <c r="G14" s="65">
        <f>'Stavební rozpočet'!L26</f>
        <v>0.128612</v>
      </c>
      <c r="H14" s="65" t="s">
        <v>232</v>
      </c>
      <c r="I14" s="65">
        <f>IF(H14="F",0,F14)</f>
        <v>0</v>
      </c>
    </row>
    <row r="15" spans="1:9" ht="12.75">
      <c r="A15" s="32"/>
      <c r="B15" s="32" t="s">
        <v>61</v>
      </c>
      <c r="C15" s="32" t="s">
        <v>118</v>
      </c>
      <c r="D15" s="65">
        <f>'Stavební rozpočet'!H31</f>
        <v>0</v>
      </c>
      <c r="E15" s="65">
        <f>'Stavební rozpočet'!I31</f>
        <v>0</v>
      </c>
      <c r="F15" s="65">
        <f>D15+E15</f>
        <v>0</v>
      </c>
      <c r="G15" s="65">
        <f>'Stavební rozpočet'!L31</f>
        <v>20.5523959</v>
      </c>
      <c r="H15" s="65" t="s">
        <v>232</v>
      </c>
      <c r="I15" s="65">
        <f>IF(H15="F",0,F15)</f>
        <v>0</v>
      </c>
    </row>
    <row r="16" spans="1:9" ht="12.75">
      <c r="A16" s="32"/>
      <c r="B16" s="32" t="s">
        <v>69</v>
      </c>
      <c r="C16" s="32" t="s">
        <v>127</v>
      </c>
      <c r="D16" s="65">
        <f>'Stavební rozpočet'!H40</f>
        <v>0</v>
      </c>
      <c r="E16" s="65">
        <f>'Stavební rozpočet'!I40</f>
        <v>0</v>
      </c>
      <c r="F16" s="65">
        <f>D16+E16</f>
        <v>0</v>
      </c>
      <c r="G16" s="65">
        <f>'Stavební rozpočet'!L40</f>
        <v>6.88298</v>
      </c>
      <c r="H16" s="65" t="s">
        <v>232</v>
      </c>
      <c r="I16" s="65">
        <f>IF(H16="F",0,F16)</f>
        <v>0</v>
      </c>
    </row>
    <row r="17" spans="1:9" ht="12.75">
      <c r="A17" s="32"/>
      <c r="B17" s="32" t="s">
        <v>71</v>
      </c>
      <c r="C17" s="32" t="s">
        <v>130</v>
      </c>
      <c r="D17" s="65">
        <f>'Stavební rozpočet'!H43</f>
        <v>0</v>
      </c>
      <c r="E17" s="65">
        <f>'Stavební rozpočet'!I43</f>
        <v>0</v>
      </c>
      <c r="F17" s="65">
        <f>D17+E17</f>
        <v>0</v>
      </c>
      <c r="G17" s="65">
        <f>'Stavební rozpočet'!L43</f>
        <v>0</v>
      </c>
      <c r="H17" s="65" t="s">
        <v>232</v>
      </c>
      <c r="I17" s="65">
        <f>IF(H17="F",0,F17)</f>
        <v>0</v>
      </c>
    </row>
    <row r="18" spans="1:9" ht="12.75">
      <c r="A18" s="32"/>
      <c r="B18" s="32" t="s">
        <v>81</v>
      </c>
      <c r="C18" s="32" t="s">
        <v>145</v>
      </c>
      <c r="D18" s="65">
        <f>'Stavební rozpočet'!H58</f>
        <v>0</v>
      </c>
      <c r="E18" s="65">
        <f>'Stavební rozpočet'!I58</f>
        <v>0</v>
      </c>
      <c r="F18" s="65">
        <f>D18+E18</f>
        <v>0</v>
      </c>
      <c r="G18" s="65">
        <f>'Stavební rozpočet'!L58</f>
        <v>0</v>
      </c>
      <c r="H18" s="65" t="s">
        <v>232</v>
      </c>
      <c r="I18" s="65">
        <f>IF(H18="F",0,F18)</f>
        <v>0</v>
      </c>
    </row>
    <row r="19" spans="1:9" ht="12.75">
      <c r="A19" s="32"/>
      <c r="B19" s="32" t="s">
        <v>84</v>
      </c>
      <c r="C19" s="32" t="s">
        <v>149</v>
      </c>
      <c r="D19" s="65">
        <f>'Stavební rozpočet'!H62</f>
        <v>0</v>
      </c>
      <c r="E19" s="65">
        <f>'Stavební rozpočet'!I62</f>
        <v>0</v>
      </c>
      <c r="F19" s="65">
        <f>D19+E19</f>
        <v>0</v>
      </c>
      <c r="G19" s="65">
        <f>'Stavební rozpočet'!L62</f>
        <v>0.49949960000000004</v>
      </c>
      <c r="H19" s="65" t="s">
        <v>232</v>
      </c>
      <c r="I19" s="65">
        <f>IF(H19="F",0,F19)</f>
        <v>0</v>
      </c>
    </row>
    <row r="20" spans="1:9" ht="12.75">
      <c r="A20" s="32"/>
      <c r="B20" s="32" t="s">
        <v>90</v>
      </c>
      <c r="C20" s="32" t="s">
        <v>160</v>
      </c>
      <c r="D20" s="65">
        <f>'Stavební rozpočet'!H73</f>
        <v>0</v>
      </c>
      <c r="E20" s="65">
        <f>'Stavební rozpočet'!I73</f>
        <v>0</v>
      </c>
      <c r="F20" s="65">
        <f>D20+E20</f>
        <v>0</v>
      </c>
      <c r="G20" s="65">
        <f>'Stavební rozpočet'!L73</f>
        <v>0.00298656</v>
      </c>
      <c r="H20" s="65" t="s">
        <v>232</v>
      </c>
      <c r="I20" s="65">
        <f>IF(H20="F",0,F20)</f>
        <v>0</v>
      </c>
    </row>
    <row r="21" spans="1:9" ht="12.75">
      <c r="A21" s="32"/>
      <c r="B21" s="32" t="s">
        <v>94</v>
      </c>
      <c r="C21" s="32" t="s">
        <v>167</v>
      </c>
      <c r="D21" s="65">
        <f>'Stavební rozpočet'!H80</f>
        <v>0</v>
      </c>
      <c r="E21" s="65">
        <f>'Stavební rozpočet'!I80</f>
        <v>0</v>
      </c>
      <c r="F21" s="65">
        <f>D21+E21</f>
        <v>0</v>
      </c>
      <c r="G21" s="65">
        <f>'Stavební rozpočet'!L80</f>
        <v>0.4542292</v>
      </c>
      <c r="H21" s="65" t="s">
        <v>232</v>
      </c>
      <c r="I21" s="65">
        <f>IF(H21="F",0,F21)</f>
        <v>0</v>
      </c>
    </row>
    <row r="23" spans="5:6" ht="12.75">
      <c r="E23" s="75" t="s">
        <v>190</v>
      </c>
      <c r="F23" s="78">
        <f>SUM(I11:I21)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23"/>
      <c r="B1" s="79"/>
      <c r="C1" s="102" t="s">
        <v>248</v>
      </c>
      <c r="D1" s="108"/>
      <c r="E1" s="108"/>
      <c r="F1" s="108"/>
      <c r="G1" s="108"/>
      <c r="H1" s="108"/>
      <c r="I1" s="108"/>
    </row>
    <row r="2" spans="1:10" ht="12.75">
      <c r="A2" s="3" t="s">
        <v>1</v>
      </c>
      <c r="B2" s="18"/>
      <c r="C2" s="26" t="s">
        <v>97</v>
      </c>
      <c r="D2" s="50"/>
      <c r="E2" s="47" t="s">
        <v>191</v>
      </c>
      <c r="F2" s="47"/>
      <c r="G2" s="18"/>
      <c r="H2" s="47" t="s">
        <v>273</v>
      </c>
      <c r="I2" s="117"/>
      <c r="J2" s="63"/>
    </row>
    <row r="3" spans="1:10" ht="12.75">
      <c r="A3" s="4"/>
      <c r="B3" s="19"/>
      <c r="C3" s="27"/>
      <c r="D3" s="27"/>
      <c r="E3" s="19"/>
      <c r="F3" s="19"/>
      <c r="G3" s="19"/>
      <c r="H3" s="19"/>
      <c r="I3" s="56"/>
      <c r="J3" s="63"/>
    </row>
    <row r="4" spans="1:10" ht="12.75">
      <c r="A4" s="5" t="s">
        <v>2</v>
      </c>
      <c r="B4" s="19"/>
      <c r="C4" s="16"/>
      <c r="D4" s="19"/>
      <c r="E4" s="16" t="s">
        <v>192</v>
      </c>
      <c r="F4" s="16"/>
      <c r="G4" s="19"/>
      <c r="H4" s="16" t="s">
        <v>273</v>
      </c>
      <c r="I4" s="118"/>
      <c r="J4" s="63"/>
    </row>
    <row r="5" spans="1:10" ht="12.75">
      <c r="A5" s="4"/>
      <c r="B5" s="19"/>
      <c r="C5" s="19"/>
      <c r="D5" s="19"/>
      <c r="E5" s="19"/>
      <c r="F5" s="19"/>
      <c r="G5" s="19"/>
      <c r="H5" s="19"/>
      <c r="I5" s="56"/>
      <c r="J5" s="63"/>
    </row>
    <row r="6" spans="1:10" ht="12.75">
      <c r="A6" s="5" t="s">
        <v>3</v>
      </c>
      <c r="B6" s="19"/>
      <c r="C6" s="16" t="s">
        <v>98</v>
      </c>
      <c r="D6" s="19"/>
      <c r="E6" s="16" t="s">
        <v>193</v>
      </c>
      <c r="F6" s="16"/>
      <c r="G6" s="19"/>
      <c r="H6" s="16" t="s">
        <v>273</v>
      </c>
      <c r="I6" s="118"/>
      <c r="J6" s="63"/>
    </row>
    <row r="7" spans="1:10" ht="12.75">
      <c r="A7" s="4"/>
      <c r="B7" s="19"/>
      <c r="C7" s="19"/>
      <c r="D7" s="19"/>
      <c r="E7" s="19"/>
      <c r="F7" s="19"/>
      <c r="G7" s="19"/>
      <c r="H7" s="19"/>
      <c r="I7" s="56"/>
      <c r="J7" s="63"/>
    </row>
    <row r="8" spans="1:10" ht="12.75">
      <c r="A8" s="5" t="s">
        <v>176</v>
      </c>
      <c r="B8" s="19"/>
      <c r="C8" s="32" t="s">
        <v>6</v>
      </c>
      <c r="D8" s="19"/>
      <c r="E8" s="16" t="s">
        <v>177</v>
      </c>
      <c r="F8" s="19"/>
      <c r="G8" s="19"/>
      <c r="H8" s="32" t="s">
        <v>274</v>
      </c>
      <c r="I8" s="118" t="s">
        <v>44</v>
      </c>
      <c r="J8" s="63"/>
    </row>
    <row r="9" spans="1:10" ht="12.75">
      <c r="A9" s="4"/>
      <c r="B9" s="19"/>
      <c r="C9" s="19"/>
      <c r="D9" s="19"/>
      <c r="E9" s="19"/>
      <c r="F9" s="19"/>
      <c r="G9" s="19"/>
      <c r="H9" s="19"/>
      <c r="I9" s="56"/>
      <c r="J9" s="63"/>
    </row>
    <row r="10" spans="1:10" ht="12.75">
      <c r="A10" s="5" t="s">
        <v>4</v>
      </c>
      <c r="B10" s="19"/>
      <c r="C10" s="16"/>
      <c r="D10" s="19"/>
      <c r="E10" s="16" t="s">
        <v>194</v>
      </c>
      <c r="F10" s="16" t="s">
        <v>196</v>
      </c>
      <c r="G10" s="19"/>
      <c r="H10" s="32" t="s">
        <v>275</v>
      </c>
      <c r="I10" s="119">
        <v>42754</v>
      </c>
      <c r="J10" s="63"/>
    </row>
    <row r="11" spans="1:10" ht="12.75">
      <c r="A11" s="80"/>
      <c r="B11" s="92"/>
      <c r="C11" s="92"/>
      <c r="D11" s="92"/>
      <c r="E11" s="92"/>
      <c r="F11" s="92"/>
      <c r="G11" s="92"/>
      <c r="H11" s="92"/>
      <c r="I11" s="120"/>
      <c r="J11" s="63"/>
    </row>
    <row r="12" spans="1:9" ht="23.25" customHeight="1">
      <c r="A12" s="81" t="s">
        <v>233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82" t="s">
        <v>234</v>
      </c>
      <c r="B13" s="94" t="s">
        <v>246</v>
      </c>
      <c r="C13" s="103"/>
      <c r="D13" s="82" t="s">
        <v>249</v>
      </c>
      <c r="E13" s="94" t="s">
        <v>258</v>
      </c>
      <c r="F13" s="103"/>
      <c r="G13" s="82" t="s">
        <v>259</v>
      </c>
      <c r="H13" s="94" t="s">
        <v>276</v>
      </c>
      <c r="I13" s="103"/>
      <c r="J13" s="63"/>
    </row>
    <row r="14" spans="1:10" ht="15" customHeight="1">
      <c r="A14" s="83" t="s">
        <v>235</v>
      </c>
      <c r="B14" s="95" t="s">
        <v>247</v>
      </c>
      <c r="C14" s="112">
        <f>SUM('Stavební rozpočet'!R12:R87)</f>
        <v>0</v>
      </c>
      <c r="D14" s="109" t="s">
        <v>250</v>
      </c>
      <c r="E14" s="111"/>
      <c r="F14" s="112">
        <v>0</v>
      </c>
      <c r="G14" s="109" t="s">
        <v>260</v>
      </c>
      <c r="H14" s="111"/>
      <c r="I14" s="112">
        <v>0</v>
      </c>
      <c r="J14" s="63"/>
    </row>
    <row r="15" spans="1:10" ht="15" customHeight="1">
      <c r="A15" s="84"/>
      <c r="B15" s="95" t="s">
        <v>195</v>
      </c>
      <c r="C15" s="112">
        <f>SUM('Stavební rozpočet'!S12:S87)</f>
        <v>0</v>
      </c>
      <c r="D15" s="109" t="s">
        <v>251</v>
      </c>
      <c r="E15" s="111"/>
      <c r="F15" s="112">
        <v>0</v>
      </c>
      <c r="G15" s="109" t="s">
        <v>261</v>
      </c>
      <c r="H15" s="111"/>
      <c r="I15" s="112">
        <v>0</v>
      </c>
      <c r="J15" s="63"/>
    </row>
    <row r="16" spans="1:10" ht="15" customHeight="1">
      <c r="A16" s="83" t="s">
        <v>236</v>
      </c>
      <c r="B16" s="95" t="s">
        <v>247</v>
      </c>
      <c r="C16" s="112">
        <f>SUM('Stavební rozpočet'!T12:T87)</f>
        <v>0</v>
      </c>
      <c r="D16" s="109" t="s">
        <v>252</v>
      </c>
      <c r="E16" s="111"/>
      <c r="F16" s="112">
        <v>0</v>
      </c>
      <c r="G16" s="109" t="s">
        <v>262</v>
      </c>
      <c r="H16" s="111"/>
      <c r="I16" s="112">
        <v>0</v>
      </c>
      <c r="J16" s="63"/>
    </row>
    <row r="17" spans="1:10" ht="15" customHeight="1">
      <c r="A17" s="84"/>
      <c r="B17" s="95" t="s">
        <v>195</v>
      </c>
      <c r="C17" s="112">
        <f>SUM('Stavební rozpočet'!U12:U87)</f>
        <v>0</v>
      </c>
      <c r="D17" s="109"/>
      <c r="E17" s="111"/>
      <c r="F17" s="113"/>
      <c r="G17" s="109" t="s">
        <v>263</v>
      </c>
      <c r="H17" s="111"/>
      <c r="I17" s="112">
        <v>0</v>
      </c>
      <c r="J17" s="63"/>
    </row>
    <row r="18" spans="1:10" ht="15" customHeight="1">
      <c r="A18" s="83" t="s">
        <v>237</v>
      </c>
      <c r="B18" s="95" t="s">
        <v>247</v>
      </c>
      <c r="C18" s="112">
        <f>SUM('Stavební rozpočet'!V12:V87)</f>
        <v>0</v>
      </c>
      <c r="D18" s="109"/>
      <c r="E18" s="111"/>
      <c r="F18" s="113"/>
      <c r="G18" s="109" t="s">
        <v>264</v>
      </c>
      <c r="H18" s="111"/>
      <c r="I18" s="112">
        <v>0</v>
      </c>
      <c r="J18" s="63"/>
    </row>
    <row r="19" spans="1:10" ht="15" customHeight="1">
      <c r="A19" s="84"/>
      <c r="B19" s="95" t="s">
        <v>195</v>
      </c>
      <c r="C19" s="112">
        <f>SUM('Stavební rozpočet'!W12:W87)</f>
        <v>0</v>
      </c>
      <c r="D19" s="109"/>
      <c r="E19" s="111"/>
      <c r="F19" s="113"/>
      <c r="G19" s="109" t="s">
        <v>265</v>
      </c>
      <c r="H19" s="111"/>
      <c r="I19" s="112">
        <v>0</v>
      </c>
      <c r="J19" s="63"/>
    </row>
    <row r="20" spans="1:10" ht="15" customHeight="1">
      <c r="A20" s="85" t="s">
        <v>238</v>
      </c>
      <c r="B20" s="96"/>
      <c r="C20" s="112">
        <f>SUM('Stavební rozpočet'!X12:X87)</f>
        <v>0</v>
      </c>
      <c r="D20" s="109"/>
      <c r="E20" s="111"/>
      <c r="F20" s="113"/>
      <c r="G20" s="109"/>
      <c r="H20" s="111"/>
      <c r="I20" s="113"/>
      <c r="J20" s="63"/>
    </row>
    <row r="21" spans="1:10" ht="15" customHeight="1">
      <c r="A21" s="85" t="s">
        <v>239</v>
      </c>
      <c r="B21" s="96"/>
      <c r="C21" s="112">
        <f>SUM('Stavební rozpočet'!P12:P87)</f>
        <v>0</v>
      </c>
      <c r="D21" s="109"/>
      <c r="E21" s="111"/>
      <c r="F21" s="113"/>
      <c r="G21" s="109"/>
      <c r="H21" s="111"/>
      <c r="I21" s="113"/>
      <c r="J21" s="63"/>
    </row>
    <row r="22" spans="1:10" ht="16.5" customHeight="1">
      <c r="A22" s="85" t="s">
        <v>240</v>
      </c>
      <c r="B22" s="96"/>
      <c r="C22" s="112">
        <f>SUM(C14:C21)</f>
        <v>0</v>
      </c>
      <c r="D22" s="85" t="s">
        <v>253</v>
      </c>
      <c r="E22" s="96"/>
      <c r="F22" s="112">
        <f>SUM(F14:F21)</f>
        <v>0</v>
      </c>
      <c r="G22" s="85" t="s">
        <v>266</v>
      </c>
      <c r="H22" s="96"/>
      <c r="I22" s="112">
        <f>SUM(I14:I21)</f>
        <v>0</v>
      </c>
      <c r="J22" s="63"/>
    </row>
    <row r="23" spans="1:10" ht="15" customHeight="1">
      <c r="A23" s="14"/>
      <c r="B23" s="14"/>
      <c r="C23" s="104"/>
      <c r="D23" s="85" t="s">
        <v>254</v>
      </c>
      <c r="E23" s="96"/>
      <c r="F23" s="114">
        <v>0</v>
      </c>
      <c r="G23" s="85" t="s">
        <v>267</v>
      </c>
      <c r="H23" s="96"/>
      <c r="I23" s="112">
        <v>0</v>
      </c>
      <c r="J23" s="63"/>
    </row>
    <row r="24" spans="4:9" ht="15" customHeight="1">
      <c r="D24" s="14"/>
      <c r="E24" s="14"/>
      <c r="F24" s="115"/>
      <c r="G24" s="85" t="s">
        <v>268</v>
      </c>
      <c r="H24" s="96"/>
      <c r="I24" s="121"/>
    </row>
    <row r="25" spans="6:10" ht="15" customHeight="1">
      <c r="F25" s="116"/>
      <c r="G25" s="85" t="s">
        <v>269</v>
      </c>
      <c r="H25" s="96"/>
      <c r="I25" s="112">
        <v>0</v>
      </c>
      <c r="J25" s="63"/>
    </row>
    <row r="26" spans="1:9" ht="12.75">
      <c r="A26" s="79"/>
      <c r="B26" s="79"/>
      <c r="C26" s="79"/>
      <c r="G26" s="14"/>
      <c r="H26" s="14"/>
      <c r="I26" s="14"/>
    </row>
    <row r="27" spans="1:9" ht="15" customHeight="1">
      <c r="A27" s="86" t="s">
        <v>241</v>
      </c>
      <c r="B27" s="97"/>
      <c r="C27" s="122">
        <f>SUM('Stavební rozpočet'!Z12:Z87)</f>
        <v>0</v>
      </c>
      <c r="D27" s="110"/>
      <c r="E27" s="79"/>
      <c r="F27" s="79"/>
      <c r="G27" s="79"/>
      <c r="H27" s="79"/>
      <c r="I27" s="79"/>
    </row>
    <row r="28" spans="1:10" ht="15" customHeight="1">
      <c r="A28" s="86" t="s">
        <v>242</v>
      </c>
      <c r="B28" s="97"/>
      <c r="C28" s="122">
        <f>SUM('Stavební rozpočet'!AA12:AA87)+(F22+I22+F23+I23+I24+I25)</f>
        <v>0</v>
      </c>
      <c r="D28" s="86" t="s">
        <v>255</v>
      </c>
      <c r="E28" s="97"/>
      <c r="F28" s="122">
        <f>ROUND(C28*(15/100),2)</f>
        <v>0</v>
      </c>
      <c r="G28" s="86" t="s">
        <v>270</v>
      </c>
      <c r="H28" s="97"/>
      <c r="I28" s="122">
        <f>SUM(C27:C29)</f>
        <v>0</v>
      </c>
      <c r="J28" s="63"/>
    </row>
    <row r="29" spans="1:10" ht="15" customHeight="1">
      <c r="A29" s="86" t="s">
        <v>243</v>
      </c>
      <c r="B29" s="97"/>
      <c r="C29" s="122">
        <f>SUM('Stavební rozpočet'!AB12:AB87)</f>
        <v>0</v>
      </c>
      <c r="D29" s="86" t="s">
        <v>256</v>
      </c>
      <c r="E29" s="97"/>
      <c r="F29" s="122">
        <f>ROUND(C29*(21/100),2)</f>
        <v>0</v>
      </c>
      <c r="G29" s="86" t="s">
        <v>271</v>
      </c>
      <c r="H29" s="97"/>
      <c r="I29" s="122">
        <f>SUM(F28:F29)+I28</f>
        <v>0</v>
      </c>
      <c r="J29" s="63"/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10" ht="14.25" customHeight="1">
      <c r="A31" s="88" t="s">
        <v>244</v>
      </c>
      <c r="B31" s="98"/>
      <c r="C31" s="105"/>
      <c r="D31" s="88" t="s">
        <v>257</v>
      </c>
      <c r="E31" s="98"/>
      <c r="F31" s="105"/>
      <c r="G31" s="88" t="s">
        <v>272</v>
      </c>
      <c r="H31" s="98"/>
      <c r="I31" s="105"/>
      <c r="J31" s="64"/>
    </row>
    <row r="32" spans="1:10" ht="14.25" customHeight="1">
      <c r="A32" s="89"/>
      <c r="B32" s="99"/>
      <c r="C32" s="106"/>
      <c r="D32" s="89"/>
      <c r="E32" s="99"/>
      <c r="F32" s="106"/>
      <c r="G32" s="89"/>
      <c r="H32" s="99"/>
      <c r="I32" s="106"/>
      <c r="J32" s="64"/>
    </row>
    <row r="33" spans="1:10" ht="14.25" customHeight="1">
      <c r="A33" s="89"/>
      <c r="B33" s="99"/>
      <c r="C33" s="106"/>
      <c r="D33" s="89"/>
      <c r="E33" s="99"/>
      <c r="F33" s="106"/>
      <c r="G33" s="89"/>
      <c r="H33" s="99"/>
      <c r="I33" s="106"/>
      <c r="J33" s="64"/>
    </row>
    <row r="34" spans="1:10" ht="14.25" customHeight="1">
      <c r="A34" s="89"/>
      <c r="B34" s="99"/>
      <c r="C34" s="106"/>
      <c r="D34" s="89"/>
      <c r="E34" s="99"/>
      <c r="F34" s="106"/>
      <c r="G34" s="89"/>
      <c r="H34" s="99"/>
      <c r="I34" s="106"/>
      <c r="J34" s="64"/>
    </row>
    <row r="35" spans="1:10" ht="14.25" customHeight="1">
      <c r="A35" s="90" t="s">
        <v>245</v>
      </c>
      <c r="B35" s="100"/>
      <c r="C35" s="107"/>
      <c r="D35" s="90" t="s">
        <v>245</v>
      </c>
      <c r="E35" s="100"/>
      <c r="F35" s="107"/>
      <c r="G35" s="90" t="s">
        <v>245</v>
      </c>
      <c r="H35" s="100"/>
      <c r="I35" s="107"/>
      <c r="J35" s="64"/>
    </row>
    <row r="36" spans="1:9" ht="11.25" customHeight="1">
      <c r="A36" s="91" t="s">
        <v>45</v>
      </c>
      <c r="B36" s="101"/>
      <c r="C36" s="101"/>
      <c r="D36" s="101"/>
      <c r="E36" s="101"/>
      <c r="F36" s="101"/>
      <c r="G36" s="101"/>
      <c r="H36" s="101"/>
      <c r="I36" s="101"/>
    </row>
    <row r="37" spans="1:9" ht="0" customHeight="1" hidden="1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